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bt2\Ref22\2_Arbeit\PLANUNG\Planungshilfen\Silomais_Biogas\"/>
    </mc:Choice>
  </mc:AlternateContent>
  <workbookProtection workbookAlgorithmName="SHA-512" workbookHashValue="XvzqM5LcVldV+wMinsKYVw8nmkUEwDCjoN234UsJfyA3lYMmqiSeHsgZbT8SC8XCnApsAlwQDZIhOehQwthAGg==" workbookSaltValue="2Xk92kfPOwPRftFhSZRb3g==" workbookSpinCount="100000" lockStructure="1"/>
  <bookViews>
    <workbookView xWindow="-15" yWindow="-15" windowWidth="14160" windowHeight="11475" activeTab="1"/>
  </bookViews>
  <sheets>
    <sheet name="Start" sheetId="5" r:id="rId1"/>
    <sheet name="Übersicht zu Vollkosten in SN" sheetId="1" r:id="rId2"/>
    <sheet name="Schema für betriebl Kalkulation" sheetId="2" r:id="rId3"/>
    <sheet name="Hinweise" sheetId="3" r:id="rId4"/>
  </sheets>
  <definedNames>
    <definedName name="_xlnm.Print_Area" localSheetId="3">Hinweise!$A$1:$O$27</definedName>
    <definedName name="_xlnm.Print_Area" localSheetId="2">'Schema für betriebl Kalkulation'!$B$2:$E$79</definedName>
    <definedName name="_xlnm.Print_Area" localSheetId="1">'Übersicht zu Vollkosten in SN'!$B$2:$G$117</definedName>
  </definedNames>
  <calcPr calcId="162913"/>
</workbook>
</file>

<file path=xl/calcChain.xml><?xml version="1.0" encoding="utf-8"?>
<calcChain xmlns="http://schemas.openxmlformats.org/spreadsheetml/2006/main">
  <c r="G39" i="1" l="1"/>
  <c r="G41" i="1" s="1"/>
  <c r="G35" i="1"/>
  <c r="F35" i="1"/>
  <c r="E35" i="1"/>
  <c r="D35" i="1"/>
  <c r="E34" i="1"/>
  <c r="F34" i="1"/>
  <c r="G34" i="1"/>
  <c r="D34" i="1"/>
  <c r="D54" i="1" l="1"/>
  <c r="D59" i="2"/>
  <c r="D57" i="2"/>
  <c r="D70" i="2"/>
  <c r="H51" i="1"/>
  <c r="I51" i="1"/>
  <c r="J51" i="1"/>
  <c r="G55" i="1"/>
  <c r="F55" i="1"/>
  <c r="E55" i="1"/>
  <c r="D55" i="1"/>
  <c r="D66" i="2" l="1"/>
  <c r="D65" i="2"/>
  <c r="D24" i="2"/>
  <c r="G46" i="1"/>
  <c r="F46" i="1"/>
  <c r="E46" i="1"/>
  <c r="D46" i="1"/>
  <c r="E60" i="1" l="1"/>
  <c r="F60" i="1"/>
  <c r="G60" i="1"/>
  <c r="D60" i="1"/>
  <c r="F59" i="1" l="1"/>
  <c r="D26" i="2"/>
  <c r="D31" i="2"/>
  <c r="D16" i="1"/>
  <c r="D15" i="1" s="1"/>
  <c r="F30" i="1"/>
  <c r="D30" i="1"/>
  <c r="E33" i="1"/>
  <c r="F33" i="1"/>
  <c r="G33" i="1"/>
  <c r="D33" i="1"/>
  <c r="E32" i="1"/>
  <c r="F32" i="1"/>
  <c r="G32" i="1"/>
  <c r="D32" i="1"/>
  <c r="D17" i="2"/>
  <c r="D18" i="2" s="1"/>
  <c r="D16" i="2"/>
  <c r="F19" i="1"/>
  <c r="E19" i="1"/>
  <c r="G19" i="1"/>
  <c r="D19" i="1"/>
  <c r="D35" i="2"/>
  <c r="D10" i="2"/>
  <c r="D39" i="1"/>
  <c r="D41" i="1" s="1"/>
  <c r="E39" i="1"/>
  <c r="E41" i="1" s="1"/>
  <c r="F39" i="1"/>
  <c r="F41" i="1" s="1"/>
  <c r="D23" i="2"/>
  <c r="D28" i="2"/>
  <c r="D29" i="2"/>
  <c r="D8" i="2"/>
  <c r="D36" i="2"/>
  <c r="D37" i="2"/>
  <c r="D38" i="2"/>
  <c r="D40" i="2"/>
  <c r="D42" i="2"/>
  <c r="D43" i="2"/>
  <c r="D44" i="2"/>
  <c r="D50" i="2"/>
  <c r="D51" i="2" s="1"/>
  <c r="D53" i="2"/>
  <c r="D55" i="2"/>
  <c r="D11" i="2"/>
  <c r="D64" i="2"/>
  <c r="D13" i="2"/>
  <c r="D87" i="1"/>
  <c r="D90" i="1" s="1"/>
  <c r="D92" i="1" s="1"/>
  <c r="D51" i="1" s="1"/>
  <c r="D25" i="1"/>
  <c r="E61" i="1"/>
  <c r="D5" i="2"/>
  <c r="D10" i="1"/>
  <c r="G54" i="1"/>
  <c r="K97" i="1" s="1"/>
  <c r="F54" i="1"/>
  <c r="F68" i="1" s="1"/>
  <c r="E54" i="1"/>
  <c r="D68" i="1"/>
  <c r="G87" i="1"/>
  <c r="G90" i="1" s="1"/>
  <c r="G92" i="1" s="1"/>
  <c r="G51" i="1" s="1"/>
  <c r="F87" i="1"/>
  <c r="F90" i="1" s="1"/>
  <c r="F92" i="1" s="1"/>
  <c r="F51" i="1" s="1"/>
  <c r="E87" i="1"/>
  <c r="E90" i="1" s="1"/>
  <c r="E92" i="1" s="1"/>
  <c r="E51" i="1" s="1"/>
  <c r="E10" i="1"/>
  <c r="G25" i="1"/>
  <c r="G30" i="1"/>
  <c r="G13" i="1"/>
  <c r="G10" i="1"/>
  <c r="G59" i="1"/>
  <c r="G61" i="1"/>
  <c r="G16" i="1"/>
  <c r="G15" i="1" s="1"/>
  <c r="H105" i="1" s="1"/>
  <c r="D13" i="1"/>
  <c r="D59" i="1"/>
  <c r="D62" i="1" s="1"/>
  <c r="D61" i="1"/>
  <c r="D68" i="2"/>
  <c r="E25" i="1"/>
  <c r="E30" i="1"/>
  <c r="D27" i="2" s="1"/>
  <c r="E13" i="1"/>
  <c r="E59" i="1"/>
  <c r="E16" i="1"/>
  <c r="E15" i="1" s="1"/>
  <c r="F13" i="1"/>
  <c r="F25" i="1"/>
  <c r="F10" i="1"/>
  <c r="F62" i="1"/>
  <c r="F61" i="1"/>
  <c r="F16" i="1"/>
  <c r="F72" i="1" s="1"/>
  <c r="K98" i="1"/>
  <c r="D61" i="2" l="1"/>
  <c r="D20" i="1"/>
  <c r="G56" i="1"/>
  <c r="K96" i="1"/>
  <c r="D45" i="2"/>
  <c r="D48" i="1"/>
  <c r="D72" i="1"/>
  <c r="K99" i="1"/>
  <c r="D54" i="2"/>
  <c r="D56" i="2" s="1"/>
  <c r="D58" i="2" s="1"/>
  <c r="D30" i="2"/>
  <c r="D67" i="2"/>
  <c r="D69" i="2" s="1"/>
  <c r="G72" i="1"/>
  <c r="G20" i="1"/>
  <c r="F20" i="1"/>
  <c r="F15" i="1"/>
  <c r="E56" i="1"/>
  <c r="E68" i="1"/>
  <c r="D9" i="2"/>
  <c r="D12" i="2"/>
  <c r="E62" i="1"/>
  <c r="G62" i="1"/>
  <c r="D25" i="2"/>
  <c r="E48" i="1"/>
  <c r="D39" i="2"/>
  <c r="D41" i="2" s="1"/>
  <c r="D67" i="1"/>
  <c r="E67" i="1"/>
  <c r="E20" i="1"/>
  <c r="D33" i="2"/>
  <c r="D56" i="1"/>
  <c r="F67" i="1"/>
  <c r="F48" i="1"/>
  <c r="G48" i="1"/>
  <c r="G67" i="1"/>
  <c r="H101" i="1"/>
  <c r="H102" i="1" s="1"/>
  <c r="E72" i="1"/>
  <c r="D32" i="2"/>
  <c r="D34" i="2" s="1"/>
  <c r="F56" i="1"/>
  <c r="D15" i="2"/>
  <c r="D62" i="2" l="1"/>
  <c r="D75" i="2" s="1"/>
  <c r="G68" i="1"/>
  <c r="G65" i="1"/>
  <c r="G83" i="1" s="1"/>
  <c r="D65" i="1"/>
  <c r="D47" i="2"/>
  <c r="D19" i="2"/>
  <c r="D14" i="2"/>
  <c r="E65" i="1"/>
  <c r="E79" i="1" s="1"/>
  <c r="F65" i="1"/>
  <c r="D63" i="2" l="1"/>
  <c r="D71" i="2"/>
  <c r="D73" i="2" s="1"/>
  <c r="G66" i="1"/>
  <c r="G69" i="1"/>
  <c r="G99" i="1" s="1"/>
  <c r="D73" i="1"/>
  <c r="D66" i="1"/>
  <c r="G79" i="1"/>
  <c r="G73" i="1"/>
  <c r="D69" i="1"/>
  <c r="D83" i="1"/>
  <c r="D79" i="1"/>
  <c r="D74" i="2"/>
  <c r="E73" i="1"/>
  <c r="E69" i="1"/>
  <c r="E83" i="1"/>
  <c r="E66" i="1"/>
  <c r="F83" i="1"/>
  <c r="F66" i="1"/>
  <c r="F73" i="1"/>
  <c r="F69" i="1"/>
  <c r="F79" i="1"/>
  <c r="D72" i="2" l="1"/>
  <c r="D76" i="2"/>
  <c r="D77" i="2" s="1"/>
  <c r="G82" i="1"/>
  <c r="G78" i="1"/>
  <c r="G75" i="1"/>
  <c r="D82" i="1"/>
  <c r="D75" i="1"/>
  <c r="D78" i="1"/>
  <c r="D99" i="1"/>
  <c r="D101" i="1" s="1"/>
  <c r="E78" i="1"/>
  <c r="E75" i="1"/>
  <c r="E99" i="1"/>
  <c r="E82" i="1"/>
  <c r="F75" i="1"/>
  <c r="F78" i="1"/>
  <c r="F99" i="1"/>
  <c r="F82" i="1"/>
  <c r="G109" i="1"/>
  <c r="G102" i="1"/>
  <c r="G106" i="1"/>
  <c r="G105" i="1"/>
  <c r="G101" i="1"/>
  <c r="H103" i="1" s="1"/>
  <c r="G110" i="1"/>
  <c r="D78" i="2" l="1"/>
  <c r="D110" i="1"/>
  <c r="D106" i="1"/>
  <c r="D105" i="1"/>
  <c r="D109" i="1"/>
  <c r="D102" i="1"/>
  <c r="E106" i="1"/>
  <c r="E110" i="1"/>
  <c r="E105" i="1"/>
  <c r="E101" i="1"/>
  <c r="E109" i="1"/>
  <c r="E102" i="1"/>
  <c r="F105" i="1"/>
  <c r="F110" i="1"/>
  <c r="F101" i="1"/>
  <c r="F106" i="1"/>
  <c r="F102" i="1"/>
  <c r="F109" i="1"/>
</calcChain>
</file>

<file path=xl/comments1.xml><?xml version="1.0" encoding="utf-8"?>
<comments xmlns="http://schemas.openxmlformats.org/spreadsheetml/2006/main">
  <authors>
    <author>ub11</author>
    <author>Bönewitz, Ulrike - LfULG</author>
    <author>b03boeul</author>
  </authors>
  <commentList>
    <comment ref="G41" authorId="0" shapeId="0">
      <text>
        <r>
          <rPr>
            <sz val="8"/>
            <color indexed="81"/>
            <rFont val="Tahoma"/>
            <family val="2"/>
          </rPr>
          <t>+5% Erschwerniszuschlag</t>
        </r>
      </text>
    </comment>
    <comment ref="B52" authorId="1" shapeId="0">
      <text>
        <r>
          <rPr>
            <sz val="9"/>
            <color indexed="81"/>
            <rFont val="Tahoma"/>
            <family val="2"/>
          </rPr>
          <t>lt. KTBL 11/2016</t>
        </r>
      </text>
    </comment>
    <comment ref="B60" authorId="1" shapeId="0">
      <text>
        <r>
          <rPr>
            <b/>
            <sz val="9"/>
            <color indexed="81"/>
            <rFont val="Tahoma"/>
            <family val="2"/>
          </rPr>
          <t>Bönewitz, Ulrike - LfULG:</t>
        </r>
        <r>
          <rPr>
            <sz val="9"/>
            <color indexed="81"/>
            <rFont val="Tahoma"/>
            <family val="2"/>
          </rPr>
          <t xml:space="preserve">
1,4 t/ha aller 4 Jahre mit Ausbringung</t>
        </r>
      </text>
    </comment>
    <comment ref="B63" authorId="2" shapeId="0">
      <text>
        <r>
          <rPr>
            <sz val="8"/>
            <color indexed="81"/>
            <rFont val="Tahoma"/>
            <family val="2"/>
          </rPr>
          <t>Buchführung, Beratung; sonst. Versicherungen; Beiträge und Gebühren; Büro/Verwaltung</t>
        </r>
      </text>
    </comment>
  </commentList>
</comments>
</file>

<file path=xl/comments2.xml><?xml version="1.0" encoding="utf-8"?>
<comments xmlns="http://schemas.openxmlformats.org/spreadsheetml/2006/main">
  <authors>
    <author>ub11</author>
    <author>b03boeul</author>
  </authors>
  <commentList>
    <comment ref="C5" authorId="0" shapeId="0">
      <text>
        <r>
          <rPr>
            <b/>
            <sz val="8"/>
            <color indexed="81"/>
            <rFont val="Tahoma"/>
            <family val="2"/>
          </rPr>
          <t>Gebietsziffer:</t>
        </r>
        <r>
          <rPr>
            <sz val="8"/>
            <color indexed="81"/>
            <rFont val="Tahoma"/>
            <family val="2"/>
          </rPr>
          <t xml:space="preserve"> siehe Tabellenblatt "Übersicht zu Vollkosten in SN":
1 Lößgebiet
2 Hügelland
3 Heidegebiet
4 Gebirgsvorland
</t>
        </r>
      </text>
    </comment>
    <comment ref="B70" authorId="1" shapeId="0">
      <text>
        <r>
          <rPr>
            <b/>
            <sz val="8"/>
            <color indexed="81"/>
            <rFont val="Tahoma"/>
            <family val="2"/>
          </rPr>
          <t>b03boeul:</t>
        </r>
        <r>
          <rPr>
            <sz val="8"/>
            <color indexed="81"/>
            <rFont val="Tahoma"/>
            <family val="2"/>
          </rPr>
          <t xml:space="preserve">
Buchführung, Beratung; sonst. Versicherungen; Beiträge und Gebühren; Büro/Verwaltung</t>
        </r>
      </text>
    </comment>
  </commentList>
</comments>
</file>

<file path=xl/sharedStrings.xml><?xml version="1.0" encoding="utf-8"?>
<sst xmlns="http://schemas.openxmlformats.org/spreadsheetml/2006/main" count="376" uniqueCount="184">
  <si>
    <t>Leistung</t>
  </si>
  <si>
    <t>Bruttoertrag FM</t>
  </si>
  <si>
    <t>dt/ha</t>
  </si>
  <si>
    <t>Bruttoertrag TM</t>
  </si>
  <si>
    <t xml:space="preserve">TS-Gehalt </t>
  </si>
  <si>
    <t>%</t>
  </si>
  <si>
    <t>Siliergut</t>
  </si>
  <si>
    <t>Maissilage aus Silo</t>
  </si>
  <si>
    <t xml:space="preserve">Nettoertrag TM </t>
  </si>
  <si>
    <t>organ. TM-Anteil</t>
  </si>
  <si>
    <t>m³/ha</t>
  </si>
  <si>
    <t>Energiepflanzenprämie auf AL</t>
  </si>
  <si>
    <t>€/ha</t>
  </si>
  <si>
    <t>nur bei reinen Energiemaisanbau</t>
  </si>
  <si>
    <t>Saatstärke</t>
  </si>
  <si>
    <t>kg/ha</t>
  </si>
  <si>
    <t>Saatgutpreis</t>
  </si>
  <si>
    <t>Saatgutkosten</t>
  </si>
  <si>
    <t>Anzahl Anwendungen Herbizid</t>
  </si>
  <si>
    <t>Beh/ha</t>
  </si>
  <si>
    <t>Preis pro Anwendung Herbizid</t>
  </si>
  <si>
    <t>€/Beh</t>
  </si>
  <si>
    <t>Anzahl Anwendungen Insektizid</t>
  </si>
  <si>
    <t>Preis pro Anwendung Insektizid</t>
  </si>
  <si>
    <t>Pflanzenschutzkosten</t>
  </si>
  <si>
    <t>Düngeraufwand N</t>
  </si>
  <si>
    <t>Düngeraufwand P</t>
  </si>
  <si>
    <t>Düngeraufwand K</t>
  </si>
  <si>
    <t>Düngungskosten</t>
  </si>
  <si>
    <t>Hagelversicherungsbeitrag</t>
  </si>
  <si>
    <t>Reparaturkosten/Maschinenunterhaltung</t>
  </si>
  <si>
    <t>Treib- und Schmierstoffkosten</t>
  </si>
  <si>
    <t>sonstige var. Maschinenkosten</t>
  </si>
  <si>
    <t>variable Maschinenkosten</t>
  </si>
  <si>
    <t>Erschwerniszuschlag für MK, LA</t>
  </si>
  <si>
    <t>Arbeitsgänge Lohnarbeit</t>
  </si>
  <si>
    <t>AG/ha</t>
  </si>
  <si>
    <t xml:space="preserve">Lohnarbeit </t>
  </si>
  <si>
    <t>Maschinenmiete</t>
  </si>
  <si>
    <t>Anzahl Behandlungen Siliermittel</t>
  </si>
  <si>
    <t>Sonstige</t>
  </si>
  <si>
    <t>variable Kosten gesamt</t>
  </si>
  <si>
    <t>Festkosten</t>
  </si>
  <si>
    <t>Personalkosten</t>
  </si>
  <si>
    <t>Lagerdichte</t>
  </si>
  <si>
    <t>kg/m³</t>
  </si>
  <si>
    <t>Lagerraumbedarf</t>
  </si>
  <si>
    <t>Investitionskosten Silo</t>
  </si>
  <si>
    <t>Festkosten Silo</t>
  </si>
  <si>
    <t xml:space="preserve">Bodenpunkt </t>
  </si>
  <si>
    <t>BP</t>
  </si>
  <si>
    <t>Pachtpreis je Bodenpunkt</t>
  </si>
  <si>
    <t>€/BP</t>
  </si>
  <si>
    <t>Pachtzahlung</t>
  </si>
  <si>
    <t>Flächenkosten</t>
  </si>
  <si>
    <t>sonstige Festkosten</t>
  </si>
  <si>
    <t>Vollkosten inkl. Silierung</t>
  </si>
  <si>
    <t>Zinsansatz Umlaufvermögen</t>
  </si>
  <si>
    <t>Zinsansatz Silo</t>
  </si>
  <si>
    <t>Vollkosten inkl. Silierung +Zinsansatz</t>
  </si>
  <si>
    <t>Mindestpreis Verkauf ab Silo</t>
  </si>
  <si>
    <t>€/dtFM</t>
  </si>
  <si>
    <t>Gewinnzuschlag</t>
  </si>
  <si>
    <t>Verkaufspreis ab Silo mit Gewinn</t>
  </si>
  <si>
    <t>€/dtTM</t>
  </si>
  <si>
    <t>oder</t>
  </si>
  <si>
    <t>Nutzungskosten (DB FuWeizen mittel)</t>
  </si>
  <si>
    <t>Verkaufspreis ab Silo mit Nutzungskosten</t>
  </si>
  <si>
    <t>Arbeitszeitbedarf</t>
  </si>
  <si>
    <t>Arbeitszeitbedarf eigen</t>
  </si>
  <si>
    <t>AKh/ha</t>
  </si>
  <si>
    <t>Rüst- und Wegezeit</t>
  </si>
  <si>
    <t>operative Zuschläge</t>
  </si>
  <si>
    <t>Arbeitszeitbedarf Lohnarbeit/Maschinenring</t>
  </si>
  <si>
    <t>Arbeitszeitbedarf des Verfahren</t>
  </si>
  <si>
    <t>Akh-Bedarf für Betriebsführung</t>
  </si>
  <si>
    <t>Arbeitszeitbedarf gesamt</t>
  </si>
  <si>
    <t>Transport zum Fermenter</t>
  </si>
  <si>
    <t>var. MK Entnahme+Transport</t>
  </si>
  <si>
    <t>Entnahme: 0,5 €/m³ [BW)</t>
  </si>
  <si>
    <t>feste MK Entnahme+Transport</t>
  </si>
  <si>
    <t>Transport: 0,5 €/m³+km [BW)</t>
  </si>
  <si>
    <t>Akh Entnahme+Transport</t>
  </si>
  <si>
    <t>Akh/ha</t>
  </si>
  <si>
    <t>Akh: je 1,5 Akh/ha</t>
  </si>
  <si>
    <t>Vollkosten frei Fermenter</t>
  </si>
  <si>
    <t>0,45 €/t+km</t>
  </si>
  <si>
    <t>Kalk. Kompostierung</t>
  </si>
  <si>
    <t>Mindestpreis Verkauf frei Fermenter</t>
  </si>
  <si>
    <t>0,04 Akh/dt</t>
  </si>
  <si>
    <t>Verkaufspreis frei Fermenter mit Gewinn</t>
  </si>
  <si>
    <t>Verkaufspreis frei Fermenter mit Nutzungskosten</t>
  </si>
  <si>
    <r>
      <t>TS-Verluste</t>
    </r>
    <r>
      <rPr>
        <sz val="8"/>
        <rFont val="Arial"/>
        <family val="2"/>
      </rPr>
      <t xml:space="preserve"> (7% Feldverluste)</t>
    </r>
  </si>
  <si>
    <r>
      <t>TS-Verluste</t>
    </r>
    <r>
      <rPr>
        <sz val="8"/>
        <rFont val="Arial"/>
        <family val="2"/>
      </rPr>
      <t xml:space="preserve"> (5% Silierverluste)</t>
    </r>
  </si>
  <si>
    <r>
      <t>feste Maschinenkosten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(AfA, Versicherung, Zins)</t>
    </r>
  </si>
  <si>
    <t>Bruttoertrag Frischmasse</t>
  </si>
  <si>
    <t>Silierkosten (Silofolie, Siliermittel)</t>
  </si>
  <si>
    <t>Lohnansatz</t>
  </si>
  <si>
    <t>€/Akh</t>
  </si>
  <si>
    <t xml:space="preserve">Anmerkungen </t>
  </si>
  <si>
    <t>variable Kosten</t>
  </si>
  <si>
    <t xml:space="preserve">Vollkosten je ha </t>
  </si>
  <si>
    <t>Vollkosten inkl. Zinsansatz</t>
  </si>
  <si>
    <t>Eingabe der Gebietsziffer:</t>
  </si>
  <si>
    <t xml:space="preserve">Gebietsziffer: </t>
  </si>
  <si>
    <t>Berufsgenossenschaft, Grundsteuer</t>
  </si>
  <si>
    <t xml:space="preserve">Mindestverkaufspreis ab Silo </t>
  </si>
  <si>
    <t>Mindestverkaufspreis ab Silo mit Energiepfl.-prämie</t>
  </si>
  <si>
    <t>Sächs. Lössgebiet</t>
  </si>
  <si>
    <t>Sächs. Hügelland</t>
  </si>
  <si>
    <t>Sächs. Heidegebiet</t>
  </si>
  <si>
    <t>Sächs. Gebirgsvorland</t>
  </si>
  <si>
    <r>
      <t xml:space="preserve">feste Maschinenkosten </t>
    </r>
    <r>
      <rPr>
        <sz val="8"/>
        <rFont val="Arial"/>
        <family val="2"/>
      </rPr>
      <t>(AfA, Versicherung, Zins)</t>
    </r>
  </si>
  <si>
    <t>€/dt FM</t>
  </si>
  <si>
    <t>Erschwerniszuschlag für MK</t>
  </si>
  <si>
    <t>alle hellblauen Felder sind überschreibbar!</t>
  </si>
  <si>
    <t>E/ha</t>
  </si>
  <si>
    <t>€/E</t>
  </si>
  <si>
    <t>6% Zinsen für 6 Monate/Jahr</t>
  </si>
  <si>
    <t xml:space="preserve">nach Entzug </t>
  </si>
  <si>
    <t>ohne Rücklieferung Gärsubstrat</t>
  </si>
  <si>
    <t>6% Zinsen/Jahr bei 50% AHK</t>
  </si>
  <si>
    <t>nach KTBL</t>
  </si>
  <si>
    <t>nach unterstellten Arbeitsgängen</t>
  </si>
  <si>
    <t>und Maschinenausstattungen</t>
  </si>
  <si>
    <t xml:space="preserve">(10 ha-Parzelle) </t>
  </si>
  <si>
    <t>nach unterstellten Arbeitsgängen …</t>
  </si>
  <si>
    <t>Liefer- und Leistungsverträge – worauf sollte man noch achten!</t>
  </si>
  <si>
    <t xml:space="preserve">Vertragspunkte detailliert zu definieren. </t>
  </si>
  <si>
    <r>
      <t xml:space="preserve"> -</t>
    </r>
    <r>
      <rPr>
        <sz val="10"/>
        <rFont val="Times New Roman"/>
        <family val="1"/>
      </rPr>
      <t xml:space="preserve">        </t>
    </r>
    <r>
      <rPr>
        <b/>
        <sz val="10"/>
        <rFont val="Arial"/>
        <family val="2"/>
      </rPr>
      <t>Lieferzeitpunkt:</t>
    </r>
    <r>
      <rPr>
        <sz val="10"/>
        <rFont val="Arial"/>
        <family val="2"/>
      </rPr>
      <t xml:space="preserve"> wer bestimmt Liefertermin/ Erntetermin?</t>
    </r>
  </si>
  <si>
    <r>
      <t xml:space="preserve"> -        </t>
    </r>
    <r>
      <rPr>
        <b/>
        <sz val="10"/>
        <rFont val="Arial"/>
        <family val="2"/>
      </rPr>
      <t>Leistungsort/ Transport</t>
    </r>
    <r>
      <rPr>
        <sz val="10"/>
        <rFont val="Arial"/>
        <family val="2"/>
      </rPr>
      <t>: Substratlieferung (ab Feld, ab Silo, Fermenter) und Gärrestabnahme, unterschiedliche Entfernungen, wer trägt die Kosten?</t>
    </r>
  </si>
  <si>
    <r>
      <t xml:space="preserve"> -</t>
    </r>
    <r>
      <rPr>
        <sz val="10"/>
        <rFont val="Times New Roman"/>
        <family val="1"/>
      </rPr>
      <t>        </t>
    </r>
    <r>
      <rPr>
        <b/>
        <sz val="10"/>
        <rFont val="Arial"/>
        <family val="2"/>
      </rPr>
      <t>Liefermenge:</t>
    </r>
    <r>
      <rPr>
        <sz val="10"/>
        <rFont val="Arial"/>
        <family val="2"/>
      </rPr>
      <t xml:space="preserve"> Beschreibung (Fläche, Menge, Partiengrößen) wie und wo wird die Menge erfasst? Wie wird mit Minder-/Übermenge verfahren?</t>
    </r>
  </si>
  <si>
    <r>
      <t xml:space="preserve"> -</t>
    </r>
    <r>
      <rPr>
        <sz val="10"/>
        <rFont val="Times New Roman"/>
        <family val="1"/>
      </rPr>
      <t>        </t>
    </r>
    <r>
      <rPr>
        <b/>
        <sz val="10"/>
        <rFont val="Arial"/>
        <family val="2"/>
      </rPr>
      <t>Qualität:</t>
    </r>
    <r>
      <rPr>
        <sz val="10"/>
        <rFont val="Arial"/>
        <family val="2"/>
      </rPr>
      <t xml:space="preserve"> Definition von Qualitätskriterien, z.B. TS-Gehalt, Häcksellänge, Verschmutzung …wie und wo werden die Parameter beprobt und kontrolliert?</t>
    </r>
  </si>
  <si>
    <r>
      <t xml:space="preserve"> -</t>
    </r>
    <r>
      <rPr>
        <sz val="10"/>
        <rFont val="Times New Roman"/>
        <family val="1"/>
      </rPr>
      <t>        </t>
    </r>
    <r>
      <rPr>
        <b/>
        <sz val="10"/>
        <rFont val="Arial"/>
        <family val="2"/>
      </rPr>
      <t>Leistungsstörungen:</t>
    </r>
    <r>
      <rPr>
        <sz val="10"/>
        <rFont val="Arial"/>
        <family val="2"/>
      </rPr>
      <t xml:space="preserve"> Welche? Wer haftet für Folgen? </t>
    </r>
  </si>
  <si>
    <t>Arbeitsmappe bestehend aus:</t>
  </si>
  <si>
    <t>→</t>
  </si>
  <si>
    <t>letzte Änderung:</t>
  </si>
  <si>
    <t>Hinweise zur Vertragsgestaltung</t>
  </si>
  <si>
    <r>
      <t xml:space="preserve">   Betriebsdaten eintragen!  </t>
    </r>
    <r>
      <rPr>
        <b/>
        <sz val="10"/>
        <rFont val="Arial"/>
        <family val="2"/>
      </rPr>
      <t>→</t>
    </r>
    <r>
      <rPr>
        <b/>
        <sz val="10"/>
        <rFont val="Arial"/>
        <family val="2"/>
      </rPr>
      <t xml:space="preserve">  automatische Berechnung</t>
    </r>
  </si>
  <si>
    <t>TS-Verluste (Feldverluste)</t>
  </si>
  <si>
    <t>TS-Verluste (Silierverluste)</t>
  </si>
  <si>
    <t xml:space="preserve">Stückkosten </t>
  </si>
  <si>
    <t>Stückkosten je dt Maissilage</t>
  </si>
  <si>
    <t xml:space="preserve"> </t>
  </si>
  <si>
    <t>Kalkulation der Vollkosten für Silomais zur Biogasproduktion</t>
  </si>
  <si>
    <t>Detaillierte Kalkulation der Vollkosten für Silomais zur Biogasproduktion</t>
  </si>
  <si>
    <r>
      <t xml:space="preserve"> -</t>
    </r>
    <r>
      <rPr>
        <sz val="10"/>
        <rFont val="Times New Roman"/>
        <family val="1"/>
      </rPr>
      <t>       </t>
    </r>
    <r>
      <rPr>
        <sz val="10"/>
        <rFont val="Arial"/>
        <family val="2"/>
      </rPr>
      <t> </t>
    </r>
    <r>
      <rPr>
        <b/>
        <sz val="10"/>
        <rFont val="Arial"/>
        <family val="2"/>
      </rPr>
      <t>Dokumentation:</t>
    </r>
    <r>
      <rPr>
        <sz val="10"/>
        <rFont val="Arial"/>
        <family val="2"/>
      </rPr>
      <t xml:space="preserve"> wer ist verantwortlich? wer regelt die Übereinstimmung des Gärsubstrates mit Anforderungen der Biomasse-VO bzw. </t>
    </r>
  </si>
  <si>
    <t>zurück</t>
  </si>
  <si>
    <t>weiter</t>
  </si>
  <si>
    <t>Sonstige Kosten</t>
  </si>
  <si>
    <t>Anteil Behandlungen Siliermittel</t>
  </si>
  <si>
    <t>Anwelkgut in Silo</t>
  </si>
  <si>
    <t>Sächsisches Landesamt für Umwelt, Landwirtschaft und Geologie</t>
  </si>
  <si>
    <t>€/Einheit</t>
  </si>
  <si>
    <t>unterstellt Siloanlage -Neubau</t>
  </si>
  <si>
    <r>
      <t xml:space="preserve">Festkosten Silo </t>
    </r>
    <r>
      <rPr>
        <sz val="8"/>
        <rFont val="Arial"/>
        <family val="2"/>
      </rPr>
      <t>(Neubau)</t>
    </r>
  </si>
  <si>
    <t>Schema für die eigene betriebliche Kalkulation</t>
  </si>
  <si>
    <t>Übersicht zu Vollkosten in Sachsen</t>
  </si>
  <si>
    <t>siehe DB Kostenrichtwerte</t>
  </si>
  <si>
    <t>€/dt TM</t>
  </si>
  <si>
    <t>siehe auch Kostenrichtwerte</t>
  </si>
  <si>
    <t>lt KTBL 232 €/ha ohne Silokosten</t>
  </si>
  <si>
    <t>Unterstellung: 10 ha Parzelle/ hohes Ertragsniveau</t>
  </si>
  <si>
    <t xml:space="preserve">Methanertrag </t>
  </si>
  <si>
    <t>l/ha</t>
  </si>
  <si>
    <t>Biogasausbeute</t>
  </si>
  <si>
    <t>Methangasausbeute</t>
  </si>
  <si>
    <t>l/kg oTS</t>
  </si>
  <si>
    <r>
      <t xml:space="preserve">Bei Abschluss eines Liefer- und Leistungsvertrages zwischen Silomaiserzeuger und –Abnehmer sind </t>
    </r>
    <r>
      <rPr>
        <b/>
        <sz val="10"/>
        <rFont val="Arial"/>
        <family val="2"/>
      </rPr>
      <t>neben dem Preis</t>
    </r>
    <r>
      <rPr>
        <sz val="10"/>
        <rFont val="Arial"/>
        <family val="2"/>
      </rPr>
      <t xml:space="preserve"> folgende weitere </t>
    </r>
  </si>
  <si>
    <t xml:space="preserve">         mit Vorschriften der Dünge-VO und des Düngemittelgesetzes?</t>
  </si>
  <si>
    <r>
      <t xml:space="preserve"> -</t>
    </r>
    <r>
      <rPr>
        <sz val="10"/>
        <rFont val="Times New Roman"/>
        <family val="1"/>
      </rPr>
      <t>        </t>
    </r>
    <r>
      <rPr>
        <b/>
        <sz val="10"/>
        <rFont val="Arial"/>
        <family val="2"/>
      </rPr>
      <t xml:space="preserve">Vertragsdauer: </t>
    </r>
    <r>
      <rPr>
        <sz val="10"/>
        <rFont val="Arial"/>
        <family val="2"/>
      </rPr>
      <t>Vereinbarungen zur Laufzeit (meist 10 - 20 Jahre Zweckbindungsfrist) Vertragsverlängerungen? Außerordentliche Kündigungen?</t>
    </r>
  </si>
  <si>
    <t>Kalkung</t>
  </si>
  <si>
    <t>Energielieferung</t>
  </si>
  <si>
    <t>Vollkosten je MJ ME</t>
  </si>
  <si>
    <t>€/MJ ME</t>
  </si>
  <si>
    <t>MJ ME/dt TM</t>
  </si>
  <si>
    <t>MJ ME</t>
  </si>
  <si>
    <t>https://www.landwirtschaft.sachsen.de/planungs-und-bewertungsdaten-14594.html</t>
  </si>
  <si>
    <t>https://www.landwirtschaft.sachsen.de/kostenrichtwerte-15562.html</t>
  </si>
  <si>
    <t xml:space="preserve">          nach DüVO berechnet</t>
  </si>
  <si>
    <t xml:space="preserve">Datengrundlagen Planungsrichtwerte: </t>
  </si>
  <si>
    <t xml:space="preserve">Kostenrichtwerte: </t>
  </si>
  <si>
    <t xml:space="preserve">Datengrundlagen: </t>
  </si>
  <si>
    <t>LfULG, Ref. 22, Stand: 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</si>
</sst>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61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55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color indexed="10"/>
      <name val="Arial"/>
      <family val="2"/>
    </font>
    <font>
      <b/>
      <i/>
      <u/>
      <sz val="9"/>
      <name val="Arial"/>
      <family val="2"/>
    </font>
    <font>
      <sz val="9"/>
      <color indexed="22"/>
      <name val="Arial"/>
      <family val="2"/>
    </font>
    <font>
      <b/>
      <i/>
      <sz val="9"/>
      <name val="Arial"/>
      <family val="2"/>
    </font>
    <font>
      <i/>
      <sz val="8"/>
      <color indexed="10"/>
      <name val="Arial"/>
      <family val="2"/>
    </font>
    <font>
      <i/>
      <sz val="10"/>
      <name val="Arial"/>
      <family val="2"/>
    </font>
    <font>
      <sz val="8"/>
      <color indexed="55"/>
      <name val="Arial"/>
      <family val="2"/>
    </font>
    <font>
      <b/>
      <i/>
      <u/>
      <sz val="8"/>
      <name val="Arial"/>
      <family val="2"/>
    </font>
    <font>
      <sz val="9"/>
      <color indexed="19"/>
      <name val="Arial"/>
      <family val="2"/>
    </font>
    <font>
      <i/>
      <sz val="8"/>
      <color indexed="23"/>
      <name val="Arial"/>
      <family val="2"/>
    </font>
    <font>
      <i/>
      <sz val="8"/>
      <name val="Arial"/>
      <family val="2"/>
    </font>
    <font>
      <sz val="8"/>
      <color indexed="22"/>
      <name val="Arial"/>
      <family val="2"/>
    </font>
    <font>
      <b/>
      <i/>
      <sz val="9"/>
      <color indexed="10"/>
      <name val="Arial"/>
      <family val="2"/>
    </font>
    <font>
      <i/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name val="Arial"/>
      <family val="2"/>
    </font>
    <font>
      <b/>
      <u/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u/>
      <sz val="10"/>
      <color indexed="10"/>
      <name val="Arial"/>
      <family val="2"/>
    </font>
    <font>
      <u/>
      <sz val="10"/>
      <color indexed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i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sz val="8"/>
      <color indexed="22"/>
      <name val="Arial"/>
      <family val="2"/>
    </font>
    <font>
      <b/>
      <sz val="10"/>
      <color indexed="10"/>
      <name val="Arial"/>
      <family val="2"/>
    </font>
    <font>
      <i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8"/>
      <color indexed="12"/>
      <name val="Arial"/>
      <family val="2"/>
    </font>
    <font>
      <b/>
      <u/>
      <sz val="14"/>
      <color rgb="FFC00000"/>
      <name val="Arial"/>
      <family val="2"/>
    </font>
    <font>
      <b/>
      <sz val="12"/>
      <color rgb="FFC00000"/>
      <name val="Arial"/>
      <family val="2"/>
    </font>
    <font>
      <b/>
      <u/>
      <sz val="12"/>
      <color rgb="FFC00000"/>
      <name val="Arial"/>
      <family val="2"/>
    </font>
    <font>
      <b/>
      <i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11"/>
      <color rgb="FFC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10" fillId="0" borderId="0" xfId="0" applyFont="1" applyFill="1" applyAlignment="1"/>
    <xf numFmtId="0" fontId="6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2" borderId="0" xfId="0" applyFont="1" applyFill="1" applyAlignment="1"/>
    <xf numFmtId="0" fontId="10" fillId="0" borderId="0" xfId="0" applyFont="1" applyAlignment="1"/>
    <xf numFmtId="1" fontId="11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3" fillId="3" borderId="1" xfId="0" applyFont="1" applyFill="1" applyBorder="1" applyAlignment="1"/>
    <xf numFmtId="1" fontId="12" fillId="3" borderId="2" xfId="0" applyNumberFormat="1" applyFont="1" applyFill="1" applyBorder="1" applyAlignment="1">
      <alignment horizontal="center"/>
    </xf>
    <xf numFmtId="1" fontId="13" fillId="3" borderId="3" xfId="0" applyNumberFormat="1" applyFont="1" applyFill="1" applyBorder="1" applyAlignment="1">
      <alignment horizontal="center"/>
    </xf>
    <xf numFmtId="0" fontId="0" fillId="0" borderId="0" xfId="0" applyFill="1"/>
    <xf numFmtId="1" fontId="11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13" fillId="4" borderId="1" xfId="0" applyFont="1" applyFill="1" applyBorder="1" applyAlignment="1"/>
    <xf numFmtId="0" fontId="6" fillId="4" borderId="2" xfId="0" applyFont="1" applyFill="1" applyBorder="1" applyAlignment="1">
      <alignment horizontal="center"/>
    </xf>
    <xf numFmtId="3" fontId="12" fillId="4" borderId="2" xfId="0" applyNumberFormat="1" applyFont="1" applyFill="1" applyBorder="1" applyAlignment="1">
      <alignment horizontal="center"/>
    </xf>
    <xf numFmtId="3" fontId="13" fillId="4" borderId="2" xfId="0" applyNumberFormat="1" applyFont="1" applyFill="1" applyBorder="1" applyAlignment="1">
      <alignment horizontal="center"/>
    </xf>
    <xf numFmtId="3" fontId="13" fillId="4" borderId="3" xfId="0" applyNumberFormat="1" applyFont="1" applyFill="1" applyBorder="1" applyAlignment="1">
      <alignment horizontal="center"/>
    </xf>
    <xf numFmtId="0" fontId="16" fillId="0" borderId="0" xfId="0" applyFont="1" applyFill="1" applyAlignment="1"/>
    <xf numFmtId="0" fontId="13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6" fillId="5" borderId="0" xfId="0" applyFont="1" applyFill="1" applyAlignment="1"/>
    <xf numFmtId="2" fontId="12" fillId="5" borderId="0" xfId="0" applyNumberFormat="1" applyFont="1" applyFill="1" applyAlignment="1">
      <alignment horizontal="center"/>
    </xf>
    <xf numFmtId="2" fontId="13" fillId="5" borderId="0" xfId="0" applyNumberFormat="1" applyFont="1" applyFill="1" applyAlignment="1">
      <alignment horizontal="center"/>
    </xf>
    <xf numFmtId="9" fontId="3" fillId="0" borderId="0" xfId="0" applyNumberFormat="1" applyFont="1" applyFill="1" applyAlignment="1">
      <alignment horizontal="left"/>
    </xf>
    <xf numFmtId="3" fontId="11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6" fillId="6" borderId="0" xfId="0" applyFont="1" applyFill="1" applyAlignment="1"/>
    <xf numFmtId="2" fontId="12" fillId="6" borderId="0" xfId="0" applyNumberFormat="1" applyFont="1" applyFill="1" applyAlignment="1">
      <alignment horizontal="center"/>
    </xf>
    <xf numFmtId="2" fontId="13" fillId="6" borderId="0" xfId="0" applyNumberFormat="1" applyFont="1" applyFill="1" applyAlignment="1">
      <alignment horizontal="center"/>
    </xf>
    <xf numFmtId="0" fontId="17" fillId="0" borderId="0" xfId="0" applyFont="1" applyFill="1" applyAlignment="1"/>
    <xf numFmtId="0" fontId="18" fillId="0" borderId="0" xfId="0" applyFont="1" applyFill="1" applyAlignment="1"/>
    <xf numFmtId="0" fontId="9" fillId="0" borderId="0" xfId="0" applyFont="1" applyAlignment="1">
      <alignment horizontal="left"/>
    </xf>
    <xf numFmtId="0" fontId="19" fillId="0" borderId="0" xfId="0" applyFont="1" applyFill="1" applyAlignment="1">
      <alignment horizontal="center"/>
    </xf>
    <xf numFmtId="1" fontId="20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22" fillId="7" borderId="0" xfId="0" applyFont="1" applyFill="1" applyAlignment="1"/>
    <xf numFmtId="0" fontId="7" fillId="0" borderId="0" xfId="0" applyFont="1" applyAlignment="1"/>
    <xf numFmtId="1" fontId="1" fillId="0" borderId="0" xfId="0" applyNumberFormat="1" applyFont="1" applyAlignment="1"/>
    <xf numFmtId="164" fontId="23" fillId="0" borderId="0" xfId="0" applyNumberFormat="1" applyFont="1" applyAlignment="1">
      <alignment horizontal="center"/>
    </xf>
    <xf numFmtId="164" fontId="12" fillId="2" borderId="0" xfId="0" applyNumberFormat="1" applyFont="1" applyFill="1" applyAlignment="1">
      <alignment horizontal="center"/>
    </xf>
    <xf numFmtId="164" fontId="13" fillId="2" borderId="0" xfId="0" applyNumberFormat="1" applyFont="1" applyFill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Fill="1" applyAlignment="1"/>
    <xf numFmtId="0" fontId="24" fillId="0" borderId="0" xfId="0" applyFont="1"/>
    <xf numFmtId="164" fontId="25" fillId="0" borderId="0" xfId="0" applyNumberFormat="1" applyFont="1"/>
    <xf numFmtId="0" fontId="6" fillId="0" borderId="0" xfId="0" applyFont="1" applyAlignment="1">
      <alignment horizontal="right"/>
    </xf>
    <xf numFmtId="1" fontId="3" fillId="0" borderId="0" xfId="0" applyNumberFormat="1" applyFont="1" applyAlignment="1">
      <alignment horizontal="center"/>
    </xf>
    <xf numFmtId="0" fontId="13" fillId="0" borderId="0" xfId="0" applyFont="1" applyAlignment="1"/>
    <xf numFmtId="0" fontId="10" fillId="0" borderId="0" xfId="0" applyFont="1" applyFill="1" applyBorder="1" applyAlignment="1"/>
    <xf numFmtId="1" fontId="6" fillId="0" borderId="0" xfId="0" applyNumberFormat="1" applyFont="1" applyAlignment="1">
      <alignment horizontal="center"/>
    </xf>
    <xf numFmtId="0" fontId="10" fillId="0" borderId="4" xfId="0" applyFont="1" applyFill="1" applyBorder="1" applyAlignment="1"/>
    <xf numFmtId="0" fontId="6" fillId="0" borderId="5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" fontId="12" fillId="4" borderId="2" xfId="0" applyNumberFormat="1" applyFont="1" applyFill="1" applyBorder="1" applyAlignment="1">
      <alignment horizontal="center"/>
    </xf>
    <xf numFmtId="1" fontId="13" fillId="4" borderId="2" xfId="0" applyNumberFormat="1" applyFont="1" applyFill="1" applyBorder="1" applyAlignment="1">
      <alignment horizontal="center"/>
    </xf>
    <xf numFmtId="1" fontId="13" fillId="4" borderId="3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 applyAlignment="1"/>
    <xf numFmtId="0" fontId="28" fillId="0" borderId="0" xfId="0" applyFont="1" applyAlignment="1">
      <alignment horizontal="left"/>
    </xf>
    <xf numFmtId="1" fontId="28" fillId="0" borderId="0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1" fontId="13" fillId="3" borderId="6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8" borderId="0" xfId="0" applyFill="1"/>
    <xf numFmtId="0" fontId="43" fillId="2" borderId="10" xfId="0" applyFont="1" applyFill="1" applyBorder="1"/>
    <xf numFmtId="0" fontId="45" fillId="2" borderId="11" xfId="0" applyFont="1" applyFill="1" applyBorder="1"/>
    <xf numFmtId="0" fontId="46" fillId="2" borderId="11" xfId="0" applyFont="1" applyFill="1" applyBorder="1"/>
    <xf numFmtId="0" fontId="37" fillId="2" borderId="0" xfId="0" applyFont="1" applyFill="1" applyBorder="1" applyAlignment="1">
      <alignment horizontal="right"/>
    </xf>
    <xf numFmtId="0" fontId="0" fillId="2" borderId="0" xfId="0" applyFill="1" applyBorder="1"/>
    <xf numFmtId="0" fontId="0" fillId="2" borderId="12" xfId="0" applyFill="1" applyBorder="1"/>
    <xf numFmtId="0" fontId="0" fillId="2" borderId="5" xfId="0" applyFill="1" applyBorder="1"/>
    <xf numFmtId="0" fontId="0" fillId="2" borderId="13" xfId="0" applyFill="1" applyBorder="1"/>
    <xf numFmtId="0" fontId="3" fillId="8" borderId="0" xfId="0" applyFont="1" applyFill="1" applyBorder="1"/>
    <xf numFmtId="0" fontId="48" fillId="8" borderId="0" xfId="0" applyFont="1" applyFill="1" applyBorder="1"/>
    <xf numFmtId="0" fontId="4" fillId="8" borderId="14" xfId="0" applyFont="1" applyFill="1" applyBorder="1" applyAlignment="1">
      <alignment horizontal="left"/>
    </xf>
    <xf numFmtId="0" fontId="3" fillId="8" borderId="15" xfId="0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1" fontId="12" fillId="8" borderId="15" xfId="0" applyNumberFormat="1" applyFont="1" applyFill="1" applyBorder="1" applyAlignment="1">
      <alignment horizontal="center"/>
    </xf>
    <xf numFmtId="1" fontId="12" fillId="8" borderId="12" xfId="0" applyNumberFormat="1" applyFont="1" applyFill="1" applyBorder="1" applyAlignment="1">
      <alignment horizontal="center"/>
    </xf>
    <xf numFmtId="0" fontId="0" fillId="8" borderId="14" xfId="0" applyFill="1" applyBorder="1" applyAlignment="1">
      <alignment horizontal="left"/>
    </xf>
    <xf numFmtId="0" fontId="0" fillId="8" borderId="14" xfId="0" applyFill="1" applyBorder="1"/>
    <xf numFmtId="0" fontId="11" fillId="8" borderId="0" xfId="0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11" fillId="8" borderId="12" xfId="0" applyFont="1" applyFill="1" applyBorder="1" applyAlignment="1">
      <alignment horizontal="center"/>
    </xf>
    <xf numFmtId="1" fontId="11" fillId="8" borderId="0" xfId="0" applyNumberFormat="1" applyFont="1" applyFill="1" applyBorder="1" applyAlignment="1">
      <alignment horizontal="center"/>
    </xf>
    <xf numFmtId="1" fontId="11" fillId="8" borderId="15" xfId="0" applyNumberFormat="1" applyFont="1" applyFill="1" applyBorder="1" applyAlignment="1">
      <alignment horizontal="center"/>
    </xf>
    <xf numFmtId="1" fontId="11" fillId="8" borderId="12" xfId="0" applyNumberFormat="1" applyFont="1" applyFill="1" applyBorder="1" applyAlignment="1">
      <alignment horizontal="center"/>
    </xf>
    <xf numFmtId="0" fontId="8" fillId="8" borderId="14" xfId="0" applyFont="1" applyFill="1" applyBorder="1" applyAlignment="1">
      <alignment horizontal="left"/>
    </xf>
    <xf numFmtId="0" fontId="7" fillId="8" borderId="15" xfId="0" applyFont="1" applyFill="1" applyBorder="1" applyAlignment="1">
      <alignment horizontal="center"/>
    </xf>
    <xf numFmtId="0" fontId="1" fillId="8" borderId="0" xfId="0" applyFont="1" applyFill="1" applyBorder="1"/>
    <xf numFmtId="0" fontId="0" fillId="8" borderId="15" xfId="0" applyFill="1" applyBorder="1"/>
    <xf numFmtId="0" fontId="1" fillId="8" borderId="15" xfId="0" applyFont="1" applyFill="1" applyBorder="1"/>
    <xf numFmtId="0" fontId="0" fillId="8" borderId="12" xfId="0" applyFill="1" applyBorder="1"/>
    <xf numFmtId="0" fontId="13" fillId="8" borderId="1" xfId="0" applyFont="1" applyFill="1" applyBorder="1" applyAlignment="1"/>
    <xf numFmtId="0" fontId="6" fillId="8" borderId="6" xfId="0" applyFont="1" applyFill="1" applyBorder="1" applyAlignment="1">
      <alignment horizontal="center"/>
    </xf>
    <xf numFmtId="1" fontId="12" fillId="8" borderId="2" xfId="0" applyNumberFormat="1" applyFont="1" applyFill="1" applyBorder="1" applyAlignment="1">
      <alignment horizontal="center"/>
    </xf>
    <xf numFmtId="1" fontId="13" fillId="8" borderId="6" xfId="0" applyNumberFormat="1" applyFont="1" applyFill="1" applyBorder="1" applyAlignment="1">
      <alignment horizontal="center"/>
    </xf>
    <xf numFmtId="1" fontId="12" fillId="8" borderId="6" xfId="0" applyNumberFormat="1" applyFont="1" applyFill="1" applyBorder="1" applyAlignment="1">
      <alignment horizontal="center"/>
    </xf>
    <xf numFmtId="1" fontId="13" fillId="8" borderId="3" xfId="0" applyNumberFormat="1" applyFont="1" applyFill="1" applyBorder="1" applyAlignment="1">
      <alignment horizontal="center"/>
    </xf>
    <xf numFmtId="0" fontId="10" fillId="8" borderId="14" xfId="0" applyFont="1" applyFill="1" applyBorder="1" applyAlignment="1"/>
    <xf numFmtId="0" fontId="6" fillId="8" borderId="15" xfId="0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1" fontId="10" fillId="8" borderId="0" xfId="0" applyNumberFormat="1" applyFont="1" applyFill="1" applyBorder="1" applyAlignment="1">
      <alignment horizontal="center"/>
    </xf>
    <xf numFmtId="1" fontId="10" fillId="8" borderId="15" xfId="0" applyNumberFormat="1" applyFont="1" applyFill="1" applyBorder="1" applyAlignment="1">
      <alignment horizontal="center"/>
    </xf>
    <xf numFmtId="1" fontId="10" fillId="8" borderId="12" xfId="0" applyNumberFormat="1" applyFont="1" applyFill="1" applyBorder="1" applyAlignment="1">
      <alignment horizontal="center"/>
    </xf>
    <xf numFmtId="164" fontId="10" fillId="8" borderId="0" xfId="0" applyNumberFormat="1" applyFont="1" applyFill="1" applyBorder="1" applyAlignment="1">
      <alignment horizontal="center"/>
    </xf>
    <xf numFmtId="164" fontId="10" fillId="8" borderId="15" xfId="0" applyNumberFormat="1" applyFont="1" applyFill="1" applyBorder="1" applyAlignment="1">
      <alignment horizontal="center"/>
    </xf>
    <xf numFmtId="164" fontId="10" fillId="8" borderId="12" xfId="0" applyNumberFormat="1" applyFont="1" applyFill="1" applyBorder="1" applyAlignment="1">
      <alignment horizontal="center"/>
    </xf>
    <xf numFmtId="0" fontId="13" fillId="8" borderId="14" xfId="0" applyFont="1" applyFill="1" applyBorder="1" applyAlignment="1"/>
    <xf numFmtId="0" fontId="31" fillId="8" borderId="15" xfId="0" applyFont="1" applyFill="1" applyBorder="1" applyAlignment="1">
      <alignment horizontal="center"/>
    </xf>
    <xf numFmtId="1" fontId="13" fillId="8" borderId="15" xfId="0" applyNumberFormat="1" applyFont="1" applyFill="1" applyBorder="1" applyAlignment="1">
      <alignment horizontal="center"/>
    </xf>
    <xf numFmtId="1" fontId="13" fillId="8" borderId="12" xfId="0" applyNumberFormat="1" applyFont="1" applyFill="1" applyBorder="1" applyAlignment="1">
      <alignment horizontal="center"/>
    </xf>
    <xf numFmtId="0" fontId="6" fillId="8" borderId="14" xfId="0" applyFont="1" applyFill="1" applyBorder="1" applyAlignment="1"/>
    <xf numFmtId="0" fontId="10" fillId="8" borderId="4" xfId="0" applyFont="1" applyFill="1" applyBorder="1" applyAlignment="1"/>
    <xf numFmtId="0" fontId="6" fillId="8" borderId="16" xfId="0" applyFont="1" applyFill="1" applyBorder="1" applyAlignment="1">
      <alignment horizontal="center"/>
    </xf>
    <xf numFmtId="0" fontId="10" fillId="8" borderId="16" xfId="0" applyFont="1" applyFill="1" applyBorder="1" applyAlignment="1">
      <alignment horizontal="center"/>
    </xf>
    <xf numFmtId="0" fontId="45" fillId="2" borderId="0" xfId="0" applyFont="1" applyFill="1" applyBorder="1"/>
    <xf numFmtId="0" fontId="46" fillId="2" borderId="0" xfId="0" applyFont="1" applyFill="1" applyBorder="1"/>
    <xf numFmtId="0" fontId="4" fillId="2" borderId="0" xfId="0" applyFont="1" applyFill="1" applyBorder="1"/>
    <xf numFmtId="0" fontId="37" fillId="2" borderId="0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4" fillId="3" borderId="1" xfId="0" applyFont="1" applyFill="1" applyBorder="1" applyAlignment="1" applyProtection="1">
      <alignment horizontal="left"/>
    </xf>
    <xf numFmtId="0" fontId="0" fillId="3" borderId="2" xfId="0" applyFill="1" applyBorder="1" applyAlignment="1" applyProtection="1">
      <alignment horizontal="center"/>
    </xf>
    <xf numFmtId="0" fontId="1" fillId="3" borderId="3" xfId="0" applyFont="1" applyFill="1" applyBorder="1" applyProtection="1"/>
    <xf numFmtId="0" fontId="6" fillId="0" borderId="15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left"/>
    </xf>
    <xf numFmtId="0" fontId="0" fillId="3" borderId="6" xfId="0" applyFill="1" applyBorder="1" applyAlignment="1" applyProtection="1">
      <alignment horizontal="center"/>
    </xf>
    <xf numFmtId="0" fontId="10" fillId="0" borderId="15" xfId="0" applyFont="1" applyFill="1" applyBorder="1" applyAlignment="1" applyProtection="1"/>
    <xf numFmtId="0" fontId="13" fillId="2" borderId="6" xfId="0" applyFont="1" applyFill="1" applyBorder="1" applyAlignment="1" applyProtection="1"/>
    <xf numFmtId="0" fontId="6" fillId="2" borderId="6" xfId="0" applyFont="1" applyFill="1" applyBorder="1" applyAlignment="1" applyProtection="1">
      <alignment horizontal="center"/>
    </xf>
    <xf numFmtId="0" fontId="13" fillId="3" borderId="6" xfId="0" applyFont="1" applyFill="1" applyBorder="1" applyAlignment="1" applyProtection="1"/>
    <xf numFmtId="0" fontId="6" fillId="3" borderId="6" xfId="0" applyFont="1" applyFill="1" applyBorder="1" applyAlignment="1" applyProtection="1">
      <alignment horizontal="center"/>
    </xf>
    <xf numFmtId="0" fontId="13" fillId="5" borderId="16" xfId="0" applyFont="1" applyFill="1" applyBorder="1" applyAlignment="1" applyProtection="1"/>
    <xf numFmtId="0" fontId="6" fillId="5" borderId="16" xfId="0" applyFont="1" applyFill="1" applyBorder="1" applyAlignment="1" applyProtection="1">
      <alignment horizontal="center"/>
    </xf>
    <xf numFmtId="0" fontId="10" fillId="5" borderId="16" xfId="0" applyFont="1" applyFill="1" applyBorder="1" applyAlignment="1" applyProtection="1"/>
    <xf numFmtId="0" fontId="0" fillId="8" borderId="15" xfId="0" applyFill="1" applyBorder="1" applyAlignment="1" applyProtection="1">
      <alignment horizontal="center"/>
    </xf>
    <xf numFmtId="0" fontId="0" fillId="8" borderId="16" xfId="0" applyFill="1" applyBorder="1" applyAlignment="1" applyProtection="1">
      <alignment horizontal="center"/>
    </xf>
    <xf numFmtId="0" fontId="0" fillId="8" borderId="17" xfId="0" applyFill="1" applyBorder="1" applyAlignment="1" applyProtection="1">
      <alignment horizontal="center"/>
    </xf>
    <xf numFmtId="1" fontId="0" fillId="8" borderId="15" xfId="0" applyNumberFormat="1" applyFill="1" applyBorder="1" applyAlignment="1" applyProtection="1">
      <alignment horizontal="center"/>
    </xf>
    <xf numFmtId="0" fontId="9" fillId="8" borderId="15" xfId="0" applyFont="1" applyFill="1" applyBorder="1" applyAlignment="1" applyProtection="1">
      <alignment horizontal="center"/>
    </xf>
    <xf numFmtId="0" fontId="3" fillId="8" borderId="15" xfId="0" applyFont="1" applyFill="1" applyBorder="1" applyAlignment="1" applyProtection="1">
      <alignment horizontal="center"/>
    </xf>
    <xf numFmtId="0" fontId="3" fillId="8" borderId="15" xfId="0" applyFont="1" applyFill="1" applyBorder="1" applyAlignment="1" applyProtection="1">
      <alignment horizontal="center" wrapText="1"/>
    </xf>
    <xf numFmtId="0" fontId="0" fillId="8" borderId="0" xfId="0" applyFill="1" applyAlignment="1" applyProtection="1">
      <alignment horizontal="center"/>
    </xf>
    <xf numFmtId="0" fontId="15" fillId="8" borderId="15" xfId="0" applyFont="1" applyFill="1" applyBorder="1" applyAlignment="1" applyProtection="1">
      <alignment horizontal="center"/>
    </xf>
    <xf numFmtId="0" fontId="0" fillId="0" borderId="0" xfId="0" applyFill="1" applyProtection="1"/>
    <xf numFmtId="0" fontId="33" fillId="2" borderId="18" xfId="0" applyFont="1" applyFill="1" applyBorder="1" applyProtection="1"/>
    <xf numFmtId="0" fontId="0" fillId="2" borderId="19" xfId="0" applyFill="1" applyBorder="1" applyProtection="1"/>
    <xf numFmtId="0" fontId="0" fillId="2" borderId="20" xfId="0" applyFill="1" applyBorder="1" applyProtection="1"/>
    <xf numFmtId="0" fontId="0" fillId="2" borderId="21" xfId="0" applyFill="1" applyBorder="1" applyProtection="1"/>
    <xf numFmtId="0" fontId="0" fillId="2" borderId="0" xfId="0" applyFill="1" applyBorder="1" applyProtection="1"/>
    <xf numFmtId="0" fontId="0" fillId="2" borderId="22" xfId="0" applyFill="1" applyBorder="1" applyProtection="1"/>
    <xf numFmtId="0" fontId="8" fillId="2" borderId="21" xfId="0" applyFont="1" applyFill="1" applyBorder="1" applyAlignment="1" applyProtection="1">
      <alignment horizontal="left" indent="2"/>
    </xf>
    <xf numFmtId="0" fontId="35" fillId="2" borderId="0" xfId="0" applyFont="1" applyFill="1" applyBorder="1" applyProtection="1"/>
    <xf numFmtId="0" fontId="35" fillId="2" borderId="22" xfId="0" applyFont="1" applyFill="1" applyBorder="1" applyProtection="1"/>
    <xf numFmtId="0" fontId="38" fillId="0" borderId="0" xfId="0" applyFont="1" applyProtection="1"/>
    <xf numFmtId="0" fontId="8" fillId="2" borderId="21" xfId="0" applyFont="1" applyFill="1" applyBorder="1" applyProtection="1"/>
    <xf numFmtId="0" fontId="35" fillId="0" borderId="0" xfId="0" applyFont="1" applyProtection="1"/>
    <xf numFmtId="0" fontId="36" fillId="2" borderId="21" xfId="0" applyFont="1" applyFill="1" applyBorder="1" applyAlignment="1" applyProtection="1">
      <alignment horizontal="left" indent="2"/>
    </xf>
    <xf numFmtId="0" fontId="38" fillId="2" borderId="0" xfId="0" applyFont="1" applyFill="1" applyBorder="1" applyProtection="1"/>
    <xf numFmtId="0" fontId="38" fillId="2" borderId="22" xfId="0" applyFont="1" applyFill="1" applyBorder="1" applyProtection="1"/>
    <xf numFmtId="0" fontId="38" fillId="2" borderId="23" xfId="0" applyFont="1" applyFill="1" applyBorder="1" applyProtection="1"/>
    <xf numFmtId="0" fontId="38" fillId="2" borderId="24" xfId="0" applyFont="1" applyFill="1" applyBorder="1" applyProtection="1"/>
    <xf numFmtId="0" fontId="38" fillId="2" borderId="25" xfId="0" applyFont="1" applyFill="1" applyBorder="1" applyProtection="1"/>
    <xf numFmtId="0" fontId="5" fillId="5" borderId="9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10" borderId="9" xfId="0" applyFont="1" applyFill="1" applyBorder="1" applyAlignment="1">
      <alignment horizontal="center"/>
    </xf>
    <xf numFmtId="0" fontId="0" fillId="8" borderId="0" xfId="0" applyFill="1" applyProtection="1"/>
    <xf numFmtId="0" fontId="38" fillId="8" borderId="0" xfId="0" applyFont="1" applyFill="1" applyProtection="1"/>
    <xf numFmtId="0" fontId="35" fillId="8" borderId="0" xfId="0" applyFont="1" applyFill="1" applyProtection="1"/>
    <xf numFmtId="0" fontId="3" fillId="8" borderId="0" xfId="0" applyFont="1" applyFill="1"/>
    <xf numFmtId="1" fontId="0" fillId="8" borderId="0" xfId="0" applyNumberFormat="1" applyFill="1"/>
    <xf numFmtId="2" fontId="0" fillId="8" borderId="0" xfId="0" applyNumberFormat="1" applyFill="1"/>
    <xf numFmtId="164" fontId="0" fillId="8" borderId="0" xfId="0" applyNumberFormat="1" applyFill="1"/>
    <xf numFmtId="0" fontId="1" fillId="8" borderId="0" xfId="0" applyFont="1" applyFill="1"/>
    <xf numFmtId="0" fontId="1" fillId="8" borderId="0" xfId="0" applyFont="1" applyFill="1" applyAlignment="1">
      <alignment horizontal="center"/>
    </xf>
    <xf numFmtId="0" fontId="4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ill="1" applyProtection="1">
      <protection locked="0"/>
    </xf>
    <xf numFmtId="0" fontId="9" fillId="8" borderId="0" xfId="0" applyFont="1" applyFill="1" applyProtection="1">
      <protection locked="0"/>
    </xf>
    <xf numFmtId="0" fontId="7" fillId="8" borderId="0" xfId="0" applyFont="1" applyFill="1" applyProtection="1">
      <protection locked="0"/>
    </xf>
    <xf numFmtId="0" fontId="32" fillId="8" borderId="0" xfId="0" applyFont="1" applyFill="1" applyAlignment="1" applyProtection="1">
      <alignment horizontal="left"/>
    </xf>
    <xf numFmtId="0" fontId="1" fillId="8" borderId="0" xfId="0" applyFont="1" applyFill="1" applyProtection="1"/>
    <xf numFmtId="0" fontId="0" fillId="8" borderId="0" xfId="0" applyFill="1" applyAlignment="1" applyProtection="1">
      <alignment horizontal="center"/>
      <protection locked="0"/>
    </xf>
    <xf numFmtId="0" fontId="2" fillId="8" borderId="0" xfId="1" applyFill="1" applyAlignment="1" applyProtection="1"/>
    <xf numFmtId="0" fontId="1" fillId="8" borderId="0" xfId="0" applyFont="1" applyFill="1" applyProtection="1">
      <protection locked="0"/>
    </xf>
    <xf numFmtId="1" fontId="12" fillId="8" borderId="0" xfId="0" applyNumberFormat="1" applyFont="1" applyFill="1" applyBorder="1" applyAlignment="1" applyProtection="1">
      <alignment horizontal="center"/>
      <protection hidden="1"/>
    </xf>
    <xf numFmtId="1" fontId="12" fillId="9" borderId="6" xfId="0" applyNumberFormat="1" applyFont="1" applyFill="1" applyBorder="1" applyAlignment="1" applyProtection="1">
      <alignment horizontal="center"/>
      <protection locked="0" hidden="1"/>
    </xf>
    <xf numFmtId="0" fontId="12" fillId="9" borderId="16" xfId="0" applyFont="1" applyFill="1" applyBorder="1" applyAlignment="1" applyProtection="1">
      <alignment horizontal="center"/>
      <protection locked="0" hidden="1"/>
    </xf>
    <xf numFmtId="0" fontId="11" fillId="0" borderId="15" xfId="0" applyFont="1" applyFill="1" applyBorder="1" applyAlignment="1" applyProtection="1">
      <alignment horizontal="center"/>
      <protection locked="0" hidden="1"/>
    </xf>
    <xf numFmtId="0" fontId="12" fillId="9" borderId="6" xfId="0" applyFont="1" applyFill="1" applyBorder="1" applyAlignment="1" applyProtection="1">
      <alignment horizontal="center"/>
      <protection locked="0" hidden="1"/>
    </xf>
    <xf numFmtId="164" fontId="12" fillId="9" borderId="6" xfId="0" applyNumberFormat="1" applyFont="1" applyFill="1" applyBorder="1" applyAlignment="1" applyProtection="1">
      <alignment horizontal="center"/>
      <protection locked="0" hidden="1"/>
    </xf>
    <xf numFmtId="1" fontId="12" fillId="2" borderId="6" xfId="0" applyNumberFormat="1" applyFont="1" applyFill="1" applyBorder="1" applyAlignment="1" applyProtection="1">
      <alignment horizontal="center"/>
      <protection locked="0" hidden="1"/>
    </xf>
    <xf numFmtId="2" fontId="12" fillId="9" borderId="6" xfId="0" applyNumberFormat="1" applyFont="1" applyFill="1" applyBorder="1" applyAlignment="1" applyProtection="1">
      <alignment horizontal="center"/>
      <protection locked="0" hidden="1"/>
    </xf>
    <xf numFmtId="1" fontId="12" fillId="0" borderId="15" xfId="0" applyNumberFormat="1" applyFont="1" applyFill="1" applyBorder="1" applyAlignment="1" applyProtection="1">
      <alignment horizontal="center"/>
      <protection locked="0" hidden="1"/>
    </xf>
    <xf numFmtId="1" fontId="11" fillId="0" borderId="15" xfId="0" applyNumberFormat="1" applyFont="1" applyFill="1" applyBorder="1" applyAlignment="1" applyProtection="1">
      <alignment horizontal="center"/>
      <protection locked="0" hidden="1"/>
    </xf>
    <xf numFmtId="1" fontId="4" fillId="9" borderId="6" xfId="0" applyNumberFormat="1" applyFont="1" applyFill="1" applyBorder="1" applyAlignment="1" applyProtection="1">
      <alignment horizontal="center"/>
      <protection locked="0" hidden="1"/>
    </xf>
    <xf numFmtId="1" fontId="5" fillId="2" borderId="6" xfId="0" applyNumberFormat="1" applyFont="1" applyFill="1" applyBorder="1" applyAlignment="1" applyProtection="1">
      <alignment horizontal="center"/>
      <protection hidden="1"/>
    </xf>
    <xf numFmtId="0" fontId="11" fillId="3" borderId="6" xfId="0" applyFont="1" applyFill="1" applyBorder="1" applyProtection="1">
      <protection hidden="1"/>
    </xf>
    <xf numFmtId="1" fontId="12" fillId="2" borderId="6" xfId="0" applyNumberFormat="1" applyFont="1" applyFill="1" applyBorder="1" applyAlignment="1" applyProtection="1">
      <alignment horizontal="center"/>
      <protection hidden="1"/>
    </xf>
    <xf numFmtId="1" fontId="12" fillId="2" borderId="15" xfId="0" applyNumberFormat="1" applyFont="1" applyFill="1" applyBorder="1" applyAlignment="1" applyProtection="1">
      <alignment horizontal="center"/>
      <protection hidden="1"/>
    </xf>
    <xf numFmtId="3" fontId="12" fillId="3" borderId="6" xfId="0" applyNumberFormat="1" applyFont="1" applyFill="1" applyBorder="1" applyAlignment="1" applyProtection="1">
      <alignment horizontal="center"/>
      <protection hidden="1"/>
    </xf>
    <xf numFmtId="2" fontId="10" fillId="5" borderId="16" xfId="0" applyNumberFormat="1" applyFont="1" applyFill="1" applyBorder="1" applyAlignment="1" applyProtection="1">
      <alignment horizontal="center"/>
      <protection hidden="1"/>
    </xf>
    <xf numFmtId="1" fontId="12" fillId="8" borderId="15" xfId="0" applyNumberFormat="1" applyFont="1" applyFill="1" applyBorder="1" applyAlignment="1" applyProtection="1">
      <alignment horizontal="center"/>
      <protection hidden="1"/>
    </xf>
    <xf numFmtId="1" fontId="12" fillId="8" borderId="12" xfId="0" applyNumberFormat="1" applyFont="1" applyFill="1" applyBorder="1" applyAlignment="1" applyProtection="1">
      <alignment horizontal="center"/>
      <protection hidden="1"/>
    </xf>
    <xf numFmtId="1" fontId="11" fillId="8" borderId="0" xfId="0" applyNumberFormat="1" applyFont="1" applyFill="1" applyBorder="1" applyAlignment="1" applyProtection="1">
      <alignment horizontal="center"/>
      <protection hidden="1"/>
    </xf>
    <xf numFmtId="1" fontId="11" fillId="8" borderId="15" xfId="0" applyNumberFormat="1" applyFont="1" applyFill="1" applyBorder="1" applyAlignment="1" applyProtection="1">
      <alignment horizontal="center"/>
      <protection hidden="1"/>
    </xf>
    <xf numFmtId="1" fontId="11" fillId="8" borderId="12" xfId="0" applyNumberFormat="1" applyFont="1" applyFill="1" applyBorder="1" applyAlignment="1" applyProtection="1">
      <alignment horizontal="center"/>
      <protection hidden="1"/>
    </xf>
    <xf numFmtId="1" fontId="10" fillId="8" borderId="0" xfId="0" applyNumberFormat="1" applyFont="1" applyFill="1" applyBorder="1" applyAlignment="1" applyProtection="1">
      <alignment horizontal="center"/>
      <protection hidden="1"/>
    </xf>
    <xf numFmtId="1" fontId="10" fillId="8" borderId="15" xfId="0" applyNumberFormat="1" applyFont="1" applyFill="1" applyBorder="1" applyAlignment="1" applyProtection="1">
      <alignment horizontal="center"/>
      <protection hidden="1"/>
    </xf>
    <xf numFmtId="1" fontId="10" fillId="8" borderId="12" xfId="0" applyNumberFormat="1" applyFont="1" applyFill="1" applyBorder="1" applyAlignment="1" applyProtection="1">
      <alignment horizontal="center"/>
      <protection hidden="1"/>
    </xf>
    <xf numFmtId="0" fontId="10" fillId="8" borderId="0" xfId="0" applyFont="1" applyFill="1" applyBorder="1" applyAlignment="1" applyProtection="1">
      <alignment horizontal="center"/>
      <protection hidden="1"/>
    </xf>
    <xf numFmtId="0" fontId="10" fillId="8" borderId="15" xfId="0" applyFont="1" applyFill="1" applyBorder="1" applyAlignment="1" applyProtection="1">
      <alignment horizontal="center"/>
      <protection hidden="1"/>
    </xf>
    <xf numFmtId="0" fontId="10" fillId="8" borderId="12" xfId="0" applyFont="1" applyFill="1" applyBorder="1" applyAlignment="1" applyProtection="1">
      <alignment horizontal="center"/>
      <protection hidden="1"/>
    </xf>
    <xf numFmtId="0" fontId="14" fillId="8" borderId="15" xfId="0" applyFont="1" applyFill="1" applyBorder="1" applyAlignment="1" applyProtection="1">
      <alignment horizontal="center"/>
      <protection hidden="1"/>
    </xf>
    <xf numFmtId="164" fontId="10" fillId="8" borderId="15" xfId="0" applyNumberFormat="1" applyFont="1" applyFill="1" applyBorder="1" applyAlignment="1" applyProtection="1">
      <alignment horizontal="center"/>
      <protection hidden="1"/>
    </xf>
    <xf numFmtId="0" fontId="10" fillId="8" borderId="1" xfId="0" applyFont="1" applyFill="1" applyBorder="1" applyAlignment="1"/>
    <xf numFmtId="0" fontId="6" fillId="8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38" fillId="0" borderId="0" xfId="0" applyFont="1" applyFill="1" applyProtection="1"/>
    <xf numFmtId="0" fontId="4" fillId="8" borderId="0" xfId="0" applyFont="1" applyFill="1" applyAlignment="1" applyProtection="1">
      <alignment horizontal="right"/>
    </xf>
    <xf numFmtId="0" fontId="13" fillId="8" borderId="15" xfId="0" applyFont="1" applyFill="1" applyBorder="1" applyAlignment="1" applyProtection="1">
      <alignment horizontal="left"/>
    </xf>
    <xf numFmtId="0" fontId="6" fillId="8" borderId="17" xfId="0" applyFont="1" applyFill="1" applyBorder="1" applyAlignment="1" applyProtection="1">
      <alignment horizontal="center"/>
    </xf>
    <xf numFmtId="0" fontId="10" fillId="8" borderId="15" xfId="0" applyFont="1" applyFill="1" applyBorder="1" applyAlignment="1" applyProtection="1">
      <alignment horizontal="left"/>
    </xf>
    <xf numFmtId="0" fontId="6" fillId="8" borderId="15" xfId="0" applyFont="1" applyFill="1" applyBorder="1" applyAlignment="1" applyProtection="1">
      <alignment horizontal="center"/>
    </xf>
    <xf numFmtId="0" fontId="10" fillId="8" borderId="15" xfId="0" applyFont="1" applyFill="1" applyBorder="1" applyProtection="1"/>
    <xf numFmtId="0" fontId="7" fillId="8" borderId="15" xfId="0" applyFont="1" applyFill="1" applyBorder="1" applyAlignment="1" applyProtection="1">
      <alignment horizontal="center"/>
    </xf>
    <xf numFmtId="0" fontId="11" fillId="8" borderId="15" xfId="0" applyFont="1" applyFill="1" applyBorder="1" applyAlignment="1" applyProtection="1">
      <alignment horizontal="center"/>
      <protection hidden="1"/>
    </xf>
    <xf numFmtId="1" fontId="13" fillId="8" borderId="15" xfId="0" applyNumberFormat="1" applyFont="1" applyFill="1" applyBorder="1" applyAlignment="1" applyProtection="1">
      <alignment horizontal="center"/>
      <protection hidden="1"/>
    </xf>
    <xf numFmtId="1" fontId="12" fillId="8" borderId="6" xfId="0" applyNumberFormat="1" applyFont="1" applyFill="1" applyBorder="1" applyAlignment="1" applyProtection="1">
      <alignment horizontal="center"/>
      <protection hidden="1"/>
    </xf>
    <xf numFmtId="0" fontId="11" fillId="8" borderId="15" xfId="0" applyFont="1" applyFill="1" applyBorder="1" applyProtection="1">
      <protection hidden="1"/>
    </xf>
    <xf numFmtId="0" fontId="10" fillId="8" borderId="15" xfId="0" applyFont="1" applyFill="1" applyBorder="1" applyAlignment="1" applyProtection="1"/>
    <xf numFmtId="0" fontId="13" fillId="8" borderId="6" xfId="0" applyFont="1" applyFill="1" applyBorder="1" applyAlignment="1" applyProtection="1"/>
    <xf numFmtId="0" fontId="6" fillId="8" borderId="6" xfId="0" applyFont="1" applyFill="1" applyBorder="1" applyAlignment="1" applyProtection="1">
      <alignment horizontal="center"/>
    </xf>
    <xf numFmtId="0" fontId="13" fillId="8" borderId="15" xfId="0" applyFont="1" applyFill="1" applyBorder="1" applyAlignment="1" applyProtection="1"/>
    <xf numFmtId="0" fontId="31" fillId="8" borderId="15" xfId="0" applyFont="1" applyFill="1" applyBorder="1" applyAlignment="1" applyProtection="1">
      <alignment horizontal="center"/>
    </xf>
    <xf numFmtId="0" fontId="10" fillId="8" borderId="16" xfId="0" applyFont="1" applyFill="1" applyBorder="1" applyAlignment="1" applyProtection="1"/>
    <xf numFmtId="0" fontId="2" fillId="8" borderId="5" xfId="1" applyFill="1" applyBorder="1" applyAlignment="1" applyProtection="1">
      <alignment horizontal="center"/>
    </xf>
    <xf numFmtId="0" fontId="3" fillId="8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2" fillId="8" borderId="0" xfId="1" applyFill="1" applyAlignment="1" applyProtection="1">
      <alignment horizontal="center"/>
    </xf>
    <xf numFmtId="0" fontId="0" fillId="0" borderId="0" xfId="0" applyFill="1" applyBorder="1"/>
    <xf numFmtId="0" fontId="39" fillId="0" borderId="0" xfId="0" applyFont="1" applyFill="1" applyBorder="1"/>
    <xf numFmtId="0" fontId="40" fillId="0" borderId="0" xfId="0" applyFont="1" applyFill="1" applyBorder="1"/>
    <xf numFmtId="0" fontId="3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41" fillId="0" borderId="0" xfId="0" applyFont="1" applyFill="1" applyBorder="1"/>
    <xf numFmtId="0" fontId="8" fillId="0" borderId="0" xfId="0" applyFont="1" applyFill="1" applyBorder="1"/>
    <xf numFmtId="0" fontId="8" fillId="0" borderId="0" xfId="0" applyNumberFormat="1" applyFont="1" applyFill="1" applyBorder="1"/>
    <xf numFmtId="0" fontId="4" fillId="0" borderId="0" xfId="0" applyNumberFormat="1" applyFont="1" applyFill="1" applyBorder="1"/>
    <xf numFmtId="0" fontId="49" fillId="0" borderId="0" xfId="0" applyNumberFormat="1" applyFont="1" applyFill="1" applyBorder="1"/>
    <xf numFmtId="0" fontId="4" fillId="0" borderId="0" xfId="0" applyFont="1" applyFill="1" applyBorder="1"/>
    <xf numFmtId="0" fontId="42" fillId="0" borderId="0" xfId="1" applyFont="1" applyFill="1" applyBorder="1" applyAlignment="1" applyProtection="1"/>
    <xf numFmtId="0" fontId="47" fillId="2" borderId="0" xfId="0" applyFont="1" applyFill="1" applyBorder="1"/>
    <xf numFmtId="0" fontId="0" fillId="2" borderId="11" xfId="0" applyFill="1" applyBorder="1"/>
    <xf numFmtId="0" fontId="47" fillId="2" borderId="11" xfId="0" applyFont="1" applyFill="1" applyBorder="1"/>
    <xf numFmtId="0" fontId="0" fillId="2" borderId="26" xfId="0" applyFill="1" applyBorder="1"/>
    <xf numFmtId="0" fontId="44" fillId="2" borderId="14" xfId="0" applyFont="1" applyFill="1" applyBorder="1"/>
    <xf numFmtId="0" fontId="2" fillId="2" borderId="14" xfId="1" applyFill="1" applyBorder="1" applyAlignment="1" applyProtection="1">
      <protection locked="0" hidden="1"/>
    </xf>
    <xf numFmtId="0" fontId="0" fillId="2" borderId="4" xfId="0" applyFill="1" applyBorder="1"/>
    <xf numFmtId="0" fontId="0" fillId="8" borderId="0" xfId="0" applyFill="1" applyBorder="1"/>
    <xf numFmtId="0" fontId="40" fillId="8" borderId="0" xfId="0" applyFont="1" applyFill="1" applyBorder="1"/>
    <xf numFmtId="0" fontId="10" fillId="8" borderId="0" xfId="0" applyFont="1" applyFill="1" applyBorder="1"/>
    <xf numFmtId="0" fontId="8" fillId="8" borderId="0" xfId="0" applyFont="1" applyFill="1" applyBorder="1"/>
    <xf numFmtId="0" fontId="4" fillId="8" borderId="0" xfId="0" applyFont="1" applyFill="1" applyBorder="1"/>
    <xf numFmtId="0" fontId="42" fillId="8" borderId="0" xfId="1" applyFont="1" applyFill="1" applyBorder="1" applyAlignment="1" applyProtection="1">
      <protection locked="0"/>
    </xf>
    <xf numFmtId="0" fontId="8" fillId="8" borderId="0" xfId="0" applyFont="1" applyFill="1" applyBorder="1" applyProtection="1">
      <protection locked="0"/>
    </xf>
    <xf numFmtId="0" fontId="7" fillId="8" borderId="0" xfId="0" applyFont="1" applyFill="1"/>
    <xf numFmtId="0" fontId="0" fillId="8" borderId="5" xfId="0" applyFill="1" applyBorder="1" applyAlignment="1" applyProtection="1">
      <alignment horizontal="center"/>
      <protection locked="0"/>
    </xf>
    <xf numFmtId="0" fontId="9" fillId="8" borderId="0" xfId="0" applyFont="1" applyFill="1" applyProtection="1"/>
    <xf numFmtId="0" fontId="7" fillId="8" borderId="0" xfId="0" applyFont="1" applyFill="1" applyProtection="1"/>
    <xf numFmtId="0" fontId="3" fillId="8" borderId="0" xfId="0" applyFont="1" applyFill="1" applyProtection="1"/>
    <xf numFmtId="0" fontId="0" fillId="8" borderId="5" xfId="0" applyFill="1" applyBorder="1" applyAlignment="1" applyProtection="1">
      <alignment horizontal="center"/>
    </xf>
    <xf numFmtId="0" fontId="0" fillId="8" borderId="11" xfId="0" applyFill="1" applyBorder="1" applyProtection="1"/>
    <xf numFmtId="0" fontId="1" fillId="8" borderId="11" xfId="0" applyFont="1" applyFill="1" applyBorder="1" applyProtection="1"/>
    <xf numFmtId="0" fontId="0" fillId="8" borderId="11" xfId="0" applyFill="1" applyBorder="1" applyAlignment="1" applyProtection="1">
      <alignment horizontal="center"/>
    </xf>
    <xf numFmtId="0" fontId="3" fillId="8" borderId="0" xfId="0" applyFont="1" applyFill="1" applyBorder="1" applyAlignment="1" applyProtection="1">
      <alignment horizontal="center"/>
    </xf>
    <xf numFmtId="0" fontId="3" fillId="8" borderId="0" xfId="0" applyFont="1" applyFill="1" applyBorder="1" applyProtection="1"/>
    <xf numFmtId="0" fontId="50" fillId="8" borderId="0" xfId="0" applyFont="1" applyFill="1" applyAlignment="1" applyProtection="1">
      <alignment horizontal="left"/>
    </xf>
    <xf numFmtId="3" fontId="5" fillId="2" borderId="2" xfId="0" applyNumberFormat="1" applyFont="1" applyFill="1" applyBorder="1" applyAlignment="1" applyProtection="1">
      <alignment horizontal="center"/>
      <protection hidden="1"/>
    </xf>
    <xf numFmtId="3" fontId="5" fillId="2" borderId="6" xfId="0" applyNumberFormat="1" applyFont="1" applyFill="1" applyBorder="1" applyAlignment="1" applyProtection="1">
      <alignment horizontal="center"/>
      <protection hidden="1"/>
    </xf>
    <xf numFmtId="3" fontId="5" fillId="2" borderId="3" xfId="0" applyNumberFormat="1" applyFont="1" applyFill="1" applyBorder="1" applyAlignment="1" applyProtection="1">
      <alignment horizontal="center"/>
      <protection hidden="1"/>
    </xf>
    <xf numFmtId="4" fontId="5" fillId="11" borderId="2" xfId="0" applyNumberFormat="1" applyFont="1" applyFill="1" applyBorder="1" applyAlignment="1" applyProtection="1">
      <alignment horizontal="center"/>
      <protection hidden="1"/>
    </xf>
    <xf numFmtId="4" fontId="5" fillId="11" borderId="6" xfId="0" applyNumberFormat="1" applyFont="1" applyFill="1" applyBorder="1" applyAlignment="1" applyProtection="1">
      <alignment horizontal="center"/>
      <protection hidden="1"/>
    </xf>
    <xf numFmtId="4" fontId="5" fillId="11" borderId="3" xfId="0" applyNumberFormat="1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/>
    <xf numFmtId="0" fontId="4" fillId="11" borderId="1" xfId="0" applyFont="1" applyFill="1" applyBorder="1" applyAlignment="1"/>
    <xf numFmtId="1" fontId="10" fillId="8" borderId="17" xfId="0" applyNumberFormat="1" applyFont="1" applyFill="1" applyBorder="1" applyAlignment="1" applyProtection="1">
      <alignment horizontal="center"/>
      <protection hidden="1"/>
    </xf>
    <xf numFmtId="0" fontId="0" fillId="12" borderId="0" xfId="0" applyFill="1"/>
    <xf numFmtId="0" fontId="9" fillId="12" borderId="0" xfId="0" applyFont="1" applyFill="1"/>
    <xf numFmtId="0" fontId="7" fillId="12" borderId="0" xfId="0" applyFont="1" applyFill="1"/>
    <xf numFmtId="1" fontId="0" fillId="12" borderId="0" xfId="0" applyNumberFormat="1" applyFill="1"/>
    <xf numFmtId="1" fontId="0" fillId="12" borderId="27" xfId="0" applyNumberFormat="1" applyFill="1" applyBorder="1"/>
    <xf numFmtId="0" fontId="0" fillId="12" borderId="0" xfId="0" applyFill="1" applyBorder="1"/>
    <xf numFmtId="0" fontId="39" fillId="12" borderId="0" xfId="0" applyFont="1" applyFill="1" applyBorder="1" applyAlignment="1">
      <alignment horizontal="center"/>
    </xf>
    <xf numFmtId="0" fontId="10" fillId="12" borderId="0" xfId="0" applyFont="1" applyFill="1" applyBorder="1"/>
    <xf numFmtId="0" fontId="8" fillId="12" borderId="0" xfId="0" applyFont="1" applyFill="1" applyBorder="1"/>
    <xf numFmtId="0" fontId="4" fillId="12" borderId="0" xfId="0" applyFont="1" applyFill="1" applyBorder="1"/>
    <xf numFmtId="0" fontId="8" fillId="12" borderId="0" xfId="0" applyFont="1" applyFill="1" applyBorder="1" applyProtection="1">
      <protection locked="0"/>
    </xf>
    <xf numFmtId="0" fontId="25" fillId="8" borderId="0" xfId="0" applyFont="1" applyFill="1"/>
    <xf numFmtId="0" fontId="25" fillId="8" borderId="11" xfId="0" applyFont="1" applyFill="1" applyBorder="1" applyProtection="1"/>
    <xf numFmtId="0" fontId="10" fillId="8" borderId="16" xfId="0" applyFont="1" applyFill="1" applyBorder="1" applyAlignment="1" applyProtection="1">
      <alignment horizontal="left"/>
    </xf>
    <xf numFmtId="0" fontId="3" fillId="8" borderId="16" xfId="0" applyFont="1" applyFill="1" applyBorder="1" applyAlignment="1" applyProtection="1">
      <alignment horizontal="center"/>
    </xf>
    <xf numFmtId="3" fontId="12" fillId="0" borderId="16" xfId="0" applyNumberFormat="1" applyFont="1" applyFill="1" applyBorder="1" applyAlignment="1" applyProtection="1">
      <alignment horizontal="center"/>
      <protection hidden="1"/>
    </xf>
    <xf numFmtId="0" fontId="8" fillId="12" borderId="14" xfId="0" applyFont="1" applyFill="1" applyBorder="1" applyAlignment="1">
      <alignment horizontal="left"/>
    </xf>
    <xf numFmtId="0" fontId="3" fillId="12" borderId="15" xfId="0" applyFont="1" applyFill="1" applyBorder="1" applyAlignment="1">
      <alignment horizontal="center"/>
    </xf>
    <xf numFmtId="1" fontId="11" fillId="12" borderId="0" xfId="0" applyNumberFormat="1" applyFont="1" applyFill="1" applyBorder="1" applyAlignment="1" applyProtection="1">
      <alignment horizontal="center"/>
      <protection hidden="1"/>
    </xf>
    <xf numFmtId="1" fontId="11" fillId="12" borderId="15" xfId="0" applyNumberFormat="1" applyFont="1" applyFill="1" applyBorder="1" applyAlignment="1" applyProtection="1">
      <alignment horizontal="center"/>
      <protection hidden="1"/>
    </xf>
    <xf numFmtId="1" fontId="11" fillId="12" borderId="12" xfId="0" applyNumberFormat="1" applyFont="1" applyFill="1" applyBorder="1" applyAlignment="1" applyProtection="1">
      <alignment horizontal="center"/>
      <protection hidden="1"/>
    </xf>
    <xf numFmtId="3" fontId="11" fillId="12" borderId="15" xfId="0" applyNumberFormat="1" applyFont="1" applyFill="1" applyBorder="1" applyAlignment="1" applyProtection="1">
      <alignment horizontal="center"/>
      <protection hidden="1"/>
    </xf>
    <xf numFmtId="3" fontId="11" fillId="12" borderId="12" xfId="0" applyNumberFormat="1" applyFont="1" applyFill="1" applyBorder="1" applyAlignment="1" applyProtection="1">
      <alignment horizontal="center"/>
      <protection hidden="1"/>
    </xf>
    <xf numFmtId="0" fontId="6" fillId="13" borderId="6" xfId="0" applyFont="1" applyFill="1" applyBorder="1" applyAlignment="1">
      <alignment horizontal="center"/>
    </xf>
    <xf numFmtId="0" fontId="6" fillId="14" borderId="6" xfId="0" applyFont="1" applyFill="1" applyBorder="1" applyAlignment="1">
      <alignment horizontal="center"/>
    </xf>
    <xf numFmtId="0" fontId="3" fillId="8" borderId="14" xfId="0" applyFont="1" applyFill="1" applyBorder="1" applyAlignment="1"/>
    <xf numFmtId="1" fontId="6" fillId="8" borderId="15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25" fillId="8" borderId="0" xfId="0" applyFont="1" applyFill="1" applyBorder="1" applyProtection="1"/>
    <xf numFmtId="0" fontId="0" fillId="8" borderId="0" xfId="0" applyFill="1" applyBorder="1" applyProtection="1"/>
    <xf numFmtId="0" fontId="1" fillId="8" borderId="0" xfId="0" applyFont="1" applyFill="1" applyBorder="1" applyProtection="1"/>
    <xf numFmtId="0" fontId="0" fillId="8" borderId="0" xfId="0" applyFill="1" applyBorder="1" applyAlignment="1" applyProtection="1">
      <alignment horizontal="center"/>
    </xf>
    <xf numFmtId="0" fontId="53" fillId="8" borderId="0" xfId="1" applyFont="1" applyFill="1" applyBorder="1" applyAlignment="1" applyProtection="1"/>
    <xf numFmtId="2" fontId="34" fillId="5" borderId="16" xfId="0" applyNumberFormat="1" applyFont="1" applyFill="1" applyBorder="1" applyAlignment="1" applyProtection="1">
      <alignment horizontal="center"/>
      <protection hidden="1"/>
    </xf>
    <xf numFmtId="3" fontId="12" fillId="9" borderId="6" xfId="0" applyNumberFormat="1" applyFont="1" applyFill="1" applyBorder="1" applyAlignment="1" applyProtection="1">
      <alignment horizontal="center"/>
      <protection locked="0" hidden="1"/>
    </xf>
    <xf numFmtId="0" fontId="54" fillId="8" borderId="0" xfId="0" applyFont="1" applyFill="1" applyAlignment="1">
      <alignment horizontal="left"/>
    </xf>
    <xf numFmtId="0" fontId="55" fillId="2" borderId="7" xfId="0" applyFont="1" applyFill="1" applyBorder="1" applyAlignment="1">
      <alignment horizontal="center"/>
    </xf>
    <xf numFmtId="0" fontId="55" fillId="5" borderId="8" xfId="0" applyFont="1" applyFill="1" applyBorder="1" applyAlignment="1">
      <alignment horizontal="center"/>
    </xf>
    <xf numFmtId="0" fontId="55" fillId="7" borderId="8" xfId="0" applyFont="1" applyFill="1" applyBorder="1" applyAlignment="1">
      <alignment horizontal="center"/>
    </xf>
    <xf numFmtId="0" fontId="55" fillId="2" borderId="8" xfId="0" applyFont="1" applyFill="1" applyBorder="1" applyAlignment="1">
      <alignment horizontal="center"/>
    </xf>
    <xf numFmtId="0" fontId="55" fillId="10" borderId="8" xfId="0" applyFont="1" applyFill="1" applyBorder="1" applyAlignment="1">
      <alignment horizontal="center"/>
    </xf>
    <xf numFmtId="0" fontId="56" fillId="8" borderId="0" xfId="0" applyFont="1" applyFill="1" applyAlignment="1" applyProtection="1">
      <alignment horizontal="left"/>
    </xf>
    <xf numFmtId="0" fontId="57" fillId="3" borderId="3" xfId="0" applyFont="1" applyFill="1" applyBorder="1" applyAlignment="1" applyProtection="1">
      <alignment horizontal="center"/>
    </xf>
    <xf numFmtId="0" fontId="55" fillId="9" borderId="6" xfId="0" applyFont="1" applyFill="1" applyBorder="1" applyAlignment="1" applyProtection="1">
      <alignment horizontal="center"/>
      <protection locked="0"/>
    </xf>
    <xf numFmtId="0" fontId="58" fillId="3" borderId="6" xfId="0" applyFont="1" applyFill="1" applyBorder="1" applyAlignment="1" applyProtection="1"/>
    <xf numFmtId="0" fontId="59" fillId="3" borderId="6" xfId="0" applyFont="1" applyFill="1" applyBorder="1" applyAlignment="1" applyProtection="1">
      <alignment horizontal="center"/>
    </xf>
    <xf numFmtId="3" fontId="60" fillId="3" borderId="6" xfId="0" applyNumberFormat="1" applyFont="1" applyFill="1" applyBorder="1" applyAlignment="1" applyProtection="1">
      <alignment horizontal="center"/>
      <protection hidden="1"/>
    </xf>
    <xf numFmtId="4" fontId="60" fillId="3" borderId="6" xfId="0" applyNumberFormat="1" applyFont="1" applyFill="1" applyBorder="1" applyAlignment="1" applyProtection="1">
      <alignment horizontal="center"/>
      <protection hidden="1"/>
    </xf>
    <xf numFmtId="0" fontId="0" fillId="12" borderId="5" xfId="0" applyFill="1" applyBorder="1" applyAlignment="1" applyProtection="1">
      <alignment horizontal="center"/>
    </xf>
    <xf numFmtId="0" fontId="1" fillId="12" borderId="5" xfId="0" applyFont="1" applyFill="1" applyBorder="1" applyAlignment="1" applyProtection="1">
      <alignment horizontal="center"/>
      <protection locked="0"/>
    </xf>
    <xf numFmtId="0" fontId="3" fillId="8" borderId="0" xfId="0" applyFont="1" applyFill="1" applyBorder="1" applyAlignment="1" applyProtection="1">
      <alignment horizontal="right"/>
    </xf>
    <xf numFmtId="0" fontId="8" fillId="12" borderId="0" xfId="0" applyFont="1" applyFill="1"/>
    <xf numFmtId="0" fontId="16" fillId="12" borderId="0" xfId="0" applyFont="1" applyFill="1" applyAlignment="1"/>
    <xf numFmtId="0" fontId="6" fillId="12" borderId="0" xfId="0" applyFont="1" applyFill="1" applyAlignment="1">
      <alignment horizontal="center"/>
    </xf>
    <xf numFmtId="2" fontId="12" fillId="12" borderId="0" xfId="0" applyNumberFormat="1" applyFont="1" applyFill="1" applyAlignment="1">
      <alignment horizontal="center"/>
    </xf>
    <xf numFmtId="2" fontId="13" fillId="12" borderId="0" xfId="0" applyNumberFormat="1" applyFont="1" applyFill="1" applyAlignment="1">
      <alignment horizontal="center"/>
    </xf>
    <xf numFmtId="0" fontId="0" fillId="12" borderId="0" xfId="0" applyFill="1" applyProtection="1">
      <protection locked="0"/>
    </xf>
    <xf numFmtId="0" fontId="9" fillId="12" borderId="0" xfId="0" applyFont="1" applyFill="1" applyProtection="1">
      <protection locked="0"/>
    </xf>
    <xf numFmtId="0" fontId="7" fillId="12" borderId="0" xfId="0" applyFont="1" applyFill="1" applyProtection="1">
      <protection locked="0"/>
    </xf>
    <xf numFmtId="0" fontId="3" fillId="12" borderId="0" xfId="0" applyFont="1" applyFill="1" applyProtection="1">
      <protection locked="0"/>
    </xf>
    <xf numFmtId="0" fontId="0" fillId="12" borderId="0" xfId="0" applyFill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8" borderId="0" xfId="0" applyFont="1" applyFill="1" applyAlignment="1">
      <alignment horizontal="right"/>
    </xf>
    <xf numFmtId="14" fontId="3" fillId="8" borderId="0" xfId="0" applyNumberFormat="1" applyFont="1" applyFill="1" applyBorder="1" applyAlignment="1">
      <alignment horizontal="center"/>
    </xf>
    <xf numFmtId="0" fontId="3" fillId="8" borderId="0" xfId="0" applyFont="1" applyFill="1" applyBorder="1" applyAlignment="1" applyProtection="1">
      <alignment horizontal="left"/>
    </xf>
    <xf numFmtId="0" fontId="53" fillId="8" borderId="0" xfId="1" applyFont="1" applyFill="1" applyBorder="1" applyAlignment="1" applyProtection="1">
      <alignment horizontal="left" vertical="center"/>
    </xf>
    <xf numFmtId="0" fontId="3" fillId="8" borderId="0" xfId="0" applyFont="1" applyFill="1" applyBorder="1" applyAlignment="1" applyProtection="1">
      <alignment horizontal="right" vertical="center"/>
    </xf>
    <xf numFmtId="0" fontId="53" fillId="8" borderId="0" xfId="1" applyFont="1" applyFill="1" applyBorder="1" applyAlignment="1" applyProtection="1">
      <alignment vertical="center"/>
    </xf>
    <xf numFmtId="0" fontId="3" fillId="8" borderId="0" xfId="0" applyFont="1" applyFill="1" applyBorder="1" applyAlignment="1" applyProtection="1">
      <alignment vertical="center"/>
    </xf>
    <xf numFmtId="3" fontId="12" fillId="8" borderId="0" xfId="0" applyNumberFormat="1" applyFont="1" applyFill="1" applyBorder="1" applyAlignment="1">
      <alignment horizontal="center"/>
    </xf>
    <xf numFmtId="3" fontId="13" fillId="8" borderId="15" xfId="0" applyNumberFormat="1" applyFont="1" applyFill="1" applyBorder="1" applyAlignment="1">
      <alignment horizontal="center"/>
    </xf>
    <xf numFmtId="3" fontId="12" fillId="8" borderId="15" xfId="0" applyNumberFormat="1" applyFont="1" applyFill="1" applyBorder="1" applyAlignment="1">
      <alignment horizontal="center"/>
    </xf>
    <xf numFmtId="3" fontId="13" fillId="8" borderId="12" xfId="0" applyNumberFormat="1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</xdr:colOff>
      <xdr:row>0</xdr:row>
      <xdr:rowOff>64770</xdr:rowOff>
    </xdr:from>
    <xdr:to>
      <xdr:col>7</xdr:col>
      <xdr:colOff>36195</xdr:colOff>
      <xdr:row>32</xdr:row>
      <xdr:rowOff>133350</xdr:rowOff>
    </xdr:to>
    <xdr:pic>
      <xdr:nvPicPr>
        <xdr:cNvPr id="3278" name="Picture 2" descr="Maisfel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" y="64770"/>
          <a:ext cx="7743825" cy="5469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497205</xdr:colOff>
      <xdr:row>12</xdr:row>
      <xdr:rowOff>45719</xdr:rowOff>
    </xdr:from>
    <xdr:to>
      <xdr:col>6</xdr:col>
      <xdr:colOff>213360</xdr:colOff>
      <xdr:row>28</xdr:row>
      <xdr:rowOff>133349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1211580" y="1874519"/>
          <a:ext cx="6669405" cy="30118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89000"/>
          </a:srgbClr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Silomais wird in Sachsen häufig als Koferment zur Biogaserzeugung eingesetzt. </a:t>
          </a: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Für die wirtschaftliche Betrachtung der eigenen Biogasanlage und für den Verkauf von Silomais zur Biogaserzeugung </a:t>
          </a: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an Dritte müssen dem Landwirt seine Erzeugungsvollkosten bekannt sein. </a:t>
          </a:r>
        </a:p>
        <a:p>
          <a:pPr algn="ctr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Die ermittelten Kostenrichtwerte in  € je verkaufte dt Maissilage sind Orientierungswerte</a:t>
          </a:r>
        </a:p>
        <a:p>
          <a:pPr algn="ctr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für die typischen Maisanbau-Regionen in Sachsen.</a:t>
          </a:r>
        </a:p>
        <a:p>
          <a:pPr algn="l" rtl="0">
            <a:defRPr sz="1000"/>
          </a:pPr>
          <a:endParaRPr lang="de-DE" sz="1100" b="1" i="0" u="none" strike="noStrike" baseline="0">
            <a:solidFill>
              <a:srgbClr val="C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100" b="1" i="0" u="none" strike="noStrike" baseline="0">
              <a:solidFill>
                <a:srgbClr val="C00000"/>
              </a:solidFill>
              <a:latin typeface="Arial"/>
              <a:cs typeface="Arial"/>
            </a:rPr>
            <a:t>Für Vertragsabschlüsse bzw. Betriebssplanungen sind Anpassung an die betrieblichen Gegebenheiten unabdingbar!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Das vorliegende Rechenschema erlaubt eine schnelle Anpassung der Kalkulation an die </a:t>
          </a: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tatsächlichen betrieblichen Erzeugungsvollkosten. </a:t>
          </a: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Mit einer Vorauswahl der Region in Sachsen (Eingabe Gebietsziffer) werden </a:t>
          </a: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die jeweiligen Kalkulationsdaten  zur Verrechnung bereitgestellt. </a:t>
          </a: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Sämtliche hellblau unterlegten Felder können mit betrieblichen Daten überschrieben und </a:t>
          </a: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neu berechnet werden.</a:t>
          </a:r>
        </a:p>
        <a:p>
          <a:pPr algn="l" rtl="0">
            <a:defRPr sz="1000"/>
          </a:pPr>
          <a:endParaRPr lang="de-DE"/>
        </a:p>
      </xdr:txBody>
    </xdr:sp>
    <xdr:clientData/>
  </xdr:twoCellAnchor>
  <xdr:twoCellAnchor editAs="oneCell">
    <xdr:from>
      <xdr:col>1</xdr:col>
      <xdr:colOff>920115</xdr:colOff>
      <xdr:row>4</xdr:row>
      <xdr:rowOff>194310</xdr:rowOff>
    </xdr:from>
    <xdr:to>
      <xdr:col>5</xdr:col>
      <xdr:colOff>205762</xdr:colOff>
      <xdr:row>8</xdr:row>
      <xdr:rowOff>152350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1323975" y="790575"/>
          <a:ext cx="5353050" cy="552450"/>
        </a:xfrm>
        <a:prstGeom prst="rect">
          <a:avLst/>
        </a:prstGeom>
        <a:solidFill>
          <a:srgbClr val="C00000"/>
        </a:solidFill>
        <a:ln>
          <a:noFill/>
        </a:ln>
        <a:ex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DE" sz="1400" b="0" i="0" u="none" strike="noStrike" baseline="0">
              <a:solidFill>
                <a:srgbClr val="FFFFFF"/>
              </a:solidFill>
              <a:latin typeface="Arial"/>
              <a:cs typeface="Arial"/>
            </a:rPr>
            <a:t>Kalkulationsschema zur Ermittlung der Erzeugungsvollkosten  von Silomais für die Biogasanlage</a:t>
          </a:r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35</xdr:row>
      <xdr:rowOff>22860</xdr:rowOff>
    </xdr:from>
    <xdr:to>
      <xdr:col>4</xdr:col>
      <xdr:colOff>137160</xdr:colOff>
      <xdr:row>39</xdr:row>
      <xdr:rowOff>0</xdr:rowOff>
    </xdr:to>
    <xdr:sp macro="" textlink="">
      <xdr:nvSpPr>
        <xdr:cNvPr id="2190" name="AutoShape 3"/>
        <xdr:cNvSpPr>
          <a:spLocks/>
        </xdr:cNvSpPr>
      </xdr:nvSpPr>
      <xdr:spPr bwMode="auto">
        <a:xfrm>
          <a:off x="5646420" y="5509260"/>
          <a:ext cx="76200" cy="480060"/>
        </a:xfrm>
        <a:prstGeom prst="rightBrace">
          <a:avLst>
            <a:gd name="adj1" fmla="val 52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60960</xdr:colOff>
      <xdr:row>31</xdr:row>
      <xdr:rowOff>22860</xdr:rowOff>
    </xdr:from>
    <xdr:to>
      <xdr:col>4</xdr:col>
      <xdr:colOff>121920</xdr:colOff>
      <xdr:row>33</xdr:row>
      <xdr:rowOff>0</xdr:rowOff>
    </xdr:to>
    <xdr:sp macro="" textlink="">
      <xdr:nvSpPr>
        <xdr:cNvPr id="2191" name="AutoShape 4"/>
        <xdr:cNvSpPr>
          <a:spLocks/>
        </xdr:cNvSpPr>
      </xdr:nvSpPr>
      <xdr:spPr bwMode="auto">
        <a:xfrm>
          <a:off x="5646420" y="4838700"/>
          <a:ext cx="60960" cy="312420"/>
        </a:xfrm>
        <a:prstGeom prst="rightBrace">
          <a:avLst>
            <a:gd name="adj1" fmla="val 52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andwirtschaft.sachsen.de/planungs-und-bewertungsdaten-14594.html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landwirtschaft.sachsen.de/kostenrichtwerte-15562.html" TargetMode="External"/><Relationship Id="rId1" Type="http://schemas.openxmlformats.org/officeDocument/2006/relationships/hyperlink" Target="https://www.landwirtschaft.sachsen.de/planungs-und-bewertungsdaten-14594.html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zoomScaleNormal="100" workbookViewId="0">
      <pane xSplit="13" ySplit="42" topLeftCell="AJ43" activePane="bottomRight" state="frozen"/>
      <selection activeCell="G68" sqref="G68"/>
      <selection pane="topRight" activeCell="G68" sqref="G68"/>
      <selection pane="bottomLeft" activeCell="G68" sqref="G68"/>
      <selection pane="bottomRight" activeCell="I35" sqref="I35"/>
    </sheetView>
  </sheetViews>
  <sheetFormatPr baseColWidth="10" defaultRowHeight="12.75" x14ac:dyDescent="0.2"/>
  <cols>
    <col min="1" max="1" width="10.7109375" customWidth="1"/>
    <col min="2" max="2" width="39.5703125" customWidth="1"/>
    <col min="3" max="3" width="9.42578125" customWidth="1"/>
    <col min="4" max="4" width="22.5703125" customWidth="1"/>
    <col min="5" max="5" width="19.140625" customWidth="1"/>
    <col min="6" max="6" width="13.5703125" customWidth="1"/>
    <col min="7" max="7" width="11.85546875" customWidth="1"/>
    <col min="8" max="8" width="18.85546875" customWidth="1"/>
    <col min="9" max="9" width="20" customWidth="1"/>
    <col min="10" max="10" width="18.85546875" customWidth="1"/>
  </cols>
  <sheetData>
    <row r="1" spans="1:41" s="81" customFormat="1" ht="6.75" customHeight="1" x14ac:dyDescent="0.2">
      <c r="G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</row>
    <row r="2" spans="1:41" s="268" customFormat="1" ht="6.75" customHeight="1" x14ac:dyDescent="0.2">
      <c r="A2" s="287"/>
      <c r="G2" s="320"/>
      <c r="H2" s="287"/>
      <c r="I2" s="287"/>
      <c r="J2" s="287"/>
      <c r="K2" s="287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</row>
    <row r="3" spans="1:41" s="268" customFormat="1" ht="15" customHeight="1" x14ac:dyDescent="0.2">
      <c r="A3" s="287"/>
      <c r="G3" s="320"/>
      <c r="H3" s="287"/>
      <c r="I3" s="287"/>
      <c r="J3" s="287"/>
      <c r="K3" s="287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</row>
    <row r="4" spans="1:41" s="268" customFormat="1" ht="18" x14ac:dyDescent="0.25">
      <c r="A4" s="287"/>
      <c r="D4" s="269"/>
      <c r="E4" s="270"/>
      <c r="F4" s="270"/>
      <c r="G4" s="321"/>
      <c r="H4" s="288"/>
      <c r="I4" s="288"/>
      <c r="J4" s="288"/>
      <c r="K4" s="287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</row>
    <row r="5" spans="1:41" s="272" customFormat="1" ht="18" x14ac:dyDescent="0.25">
      <c r="A5" s="289"/>
      <c r="D5" s="269"/>
      <c r="E5" s="269"/>
      <c r="F5" s="271"/>
      <c r="G5" s="321"/>
      <c r="H5" s="288"/>
      <c r="I5" s="288"/>
      <c r="J5" s="288"/>
      <c r="K5" s="289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</row>
    <row r="6" spans="1:41" s="272" customFormat="1" ht="12" x14ac:dyDescent="0.2">
      <c r="A6" s="289"/>
      <c r="G6" s="322"/>
      <c r="H6" s="289"/>
      <c r="I6" s="289"/>
      <c r="J6" s="289"/>
      <c r="K6" s="289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</row>
    <row r="7" spans="1:41" s="272" customFormat="1" ht="12" x14ac:dyDescent="0.2">
      <c r="A7" s="289"/>
      <c r="G7" s="322"/>
      <c r="H7" s="289"/>
      <c r="I7" s="289"/>
      <c r="J7" s="289"/>
      <c r="K7" s="289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</row>
    <row r="8" spans="1:41" s="272" customFormat="1" ht="5.25" customHeight="1" x14ac:dyDescent="0.2">
      <c r="A8" s="289"/>
      <c r="G8" s="322"/>
      <c r="H8" s="289"/>
      <c r="I8" s="289"/>
      <c r="J8" s="289"/>
      <c r="K8" s="289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</row>
    <row r="9" spans="1:41" s="272" customFormat="1" ht="12.75" customHeight="1" x14ac:dyDescent="0.2">
      <c r="A9" s="289"/>
      <c r="D9" s="273"/>
      <c r="E9" s="268"/>
      <c r="F9" s="268"/>
      <c r="G9" s="320"/>
      <c r="H9" s="287"/>
      <c r="I9" s="287"/>
      <c r="J9" s="287"/>
      <c r="K9" s="289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</row>
    <row r="10" spans="1:41" s="272" customFormat="1" ht="12" x14ac:dyDescent="0.2">
      <c r="A10" s="289"/>
      <c r="G10" s="322"/>
      <c r="H10" s="289"/>
      <c r="I10" s="289"/>
      <c r="J10" s="289"/>
      <c r="K10" s="289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</row>
    <row r="11" spans="1:41" s="272" customFormat="1" x14ac:dyDescent="0.2">
      <c r="A11" s="289"/>
      <c r="E11" s="274"/>
      <c r="F11" s="274"/>
      <c r="G11" s="323"/>
      <c r="H11" s="290"/>
      <c r="I11" s="290"/>
      <c r="J11" s="290"/>
      <c r="K11" s="289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</row>
    <row r="12" spans="1:41" s="272" customFormat="1" x14ac:dyDescent="0.2">
      <c r="A12" s="289"/>
      <c r="D12" s="275"/>
      <c r="E12" s="274"/>
      <c r="F12" s="274"/>
      <c r="G12" s="323"/>
      <c r="H12" s="290"/>
      <c r="I12" s="290"/>
      <c r="J12" s="290"/>
      <c r="K12" s="289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</row>
    <row r="13" spans="1:41" s="272" customFormat="1" x14ac:dyDescent="0.2">
      <c r="A13" s="289"/>
      <c r="D13" s="275"/>
      <c r="E13" s="274"/>
      <c r="F13" s="274"/>
      <c r="G13" s="323"/>
      <c r="H13" s="290"/>
      <c r="I13" s="290"/>
      <c r="J13" s="290"/>
      <c r="K13" s="289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</row>
    <row r="14" spans="1:41" s="272" customFormat="1" x14ac:dyDescent="0.2">
      <c r="A14" s="289"/>
      <c r="D14" s="275"/>
      <c r="E14" s="274"/>
      <c r="F14" s="274"/>
      <c r="G14" s="323"/>
      <c r="H14" s="290"/>
      <c r="I14" s="290"/>
      <c r="J14" s="290"/>
      <c r="K14" s="289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</row>
    <row r="15" spans="1:41" s="272" customFormat="1" ht="15" customHeight="1" x14ac:dyDescent="0.2">
      <c r="A15" s="289"/>
      <c r="D15" s="275"/>
      <c r="E15" s="274"/>
      <c r="F15" s="274"/>
      <c r="G15" s="323"/>
      <c r="H15" s="290"/>
      <c r="I15" s="290"/>
      <c r="J15" s="290"/>
      <c r="K15" s="289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</row>
    <row r="16" spans="1:41" s="268" customFormat="1" ht="15" customHeight="1" x14ac:dyDescent="0.2">
      <c r="A16" s="287"/>
      <c r="D16" s="275"/>
      <c r="E16" s="274"/>
      <c r="F16" s="274"/>
      <c r="G16" s="323"/>
      <c r="H16" s="290"/>
      <c r="I16" s="290"/>
      <c r="J16" s="290"/>
      <c r="K16" s="287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0"/>
      <c r="AN16" s="320"/>
      <c r="AO16" s="320"/>
    </row>
    <row r="17" spans="1:41" s="268" customFormat="1" ht="15" customHeight="1" x14ac:dyDescent="0.2">
      <c r="A17" s="287"/>
      <c r="D17" s="276"/>
      <c r="E17" s="274"/>
      <c r="F17" s="274"/>
      <c r="G17" s="323"/>
      <c r="H17" s="290"/>
      <c r="I17" s="290"/>
      <c r="J17" s="290"/>
      <c r="K17" s="287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0"/>
      <c r="AO17" s="320"/>
    </row>
    <row r="18" spans="1:41" s="268" customFormat="1" ht="15" customHeight="1" x14ac:dyDescent="0.2">
      <c r="A18" s="287"/>
      <c r="D18" s="277"/>
      <c r="E18" s="278"/>
      <c r="F18" s="278"/>
      <c r="G18" s="324"/>
      <c r="H18" s="291"/>
      <c r="I18" s="291"/>
      <c r="J18" s="291"/>
      <c r="K18" s="287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320"/>
      <c r="AL18" s="320"/>
      <c r="AM18" s="320"/>
      <c r="AN18" s="320"/>
      <c r="AO18" s="320"/>
    </row>
    <row r="19" spans="1:41" s="268" customFormat="1" ht="15" customHeight="1" x14ac:dyDescent="0.2">
      <c r="A19" s="287"/>
      <c r="E19" s="274"/>
      <c r="F19" s="274"/>
      <c r="G19" s="323"/>
      <c r="H19" s="290"/>
      <c r="I19" s="290"/>
      <c r="J19" s="290"/>
      <c r="K19" s="287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</row>
    <row r="20" spans="1:41" s="268" customFormat="1" ht="15" customHeight="1" x14ac:dyDescent="0.2">
      <c r="A20" s="287"/>
      <c r="D20" s="275"/>
      <c r="E20" s="274"/>
      <c r="F20" s="274"/>
      <c r="G20" s="323"/>
      <c r="H20" s="290"/>
      <c r="I20" s="290"/>
      <c r="J20" s="290"/>
      <c r="K20" s="287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</row>
    <row r="21" spans="1:41" s="268" customFormat="1" ht="15" customHeight="1" x14ac:dyDescent="0.2">
      <c r="A21" s="287"/>
      <c r="D21" s="275"/>
      <c r="E21" s="274"/>
      <c r="F21" s="274"/>
      <c r="G21" s="323"/>
      <c r="H21" s="290"/>
      <c r="I21" s="290"/>
      <c r="J21" s="290"/>
      <c r="K21" s="287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0"/>
      <c r="AL21" s="320"/>
      <c r="AM21" s="320"/>
      <c r="AN21" s="320"/>
      <c r="AO21" s="320"/>
    </row>
    <row r="22" spans="1:41" s="268" customFormat="1" ht="15" customHeight="1" x14ac:dyDescent="0.2">
      <c r="A22" s="287"/>
      <c r="D22" s="275"/>
      <c r="E22" s="274"/>
      <c r="F22" s="274"/>
      <c r="G22" s="323"/>
      <c r="H22" s="290"/>
      <c r="I22" s="290"/>
      <c r="J22" s="290"/>
      <c r="K22" s="287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20"/>
      <c r="AO22" s="320"/>
    </row>
    <row r="23" spans="1:41" s="268" customFormat="1" ht="15" customHeight="1" x14ac:dyDescent="0.2">
      <c r="A23" s="287"/>
      <c r="D23" s="279"/>
      <c r="E23" s="274"/>
      <c r="F23" s="274"/>
      <c r="G23" s="325"/>
      <c r="H23" s="292"/>
      <c r="I23" s="293"/>
      <c r="J23" s="290"/>
      <c r="K23" s="287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</row>
    <row r="24" spans="1:41" s="268" customFormat="1" ht="15" customHeight="1" x14ac:dyDescent="0.2">
      <c r="A24" s="287"/>
      <c r="G24" s="320"/>
      <c r="H24" s="287"/>
      <c r="I24" s="287"/>
      <c r="J24" s="287"/>
      <c r="K24" s="287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320"/>
      <c r="AK24" s="320"/>
      <c r="AL24" s="320"/>
      <c r="AM24" s="320"/>
      <c r="AN24" s="320"/>
      <c r="AO24" s="320"/>
    </row>
    <row r="25" spans="1:41" s="268" customFormat="1" ht="15" customHeight="1" x14ac:dyDescent="0.2">
      <c r="A25" s="287"/>
      <c r="G25" s="320"/>
      <c r="H25" s="287"/>
      <c r="I25" s="287"/>
      <c r="J25" s="287"/>
      <c r="K25" s="287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  <c r="AL25" s="320"/>
      <c r="AM25" s="320"/>
      <c r="AN25" s="320"/>
      <c r="AO25" s="320"/>
    </row>
    <row r="26" spans="1:41" s="268" customFormat="1" ht="15" customHeight="1" x14ac:dyDescent="0.2">
      <c r="A26" s="287"/>
      <c r="G26" s="320"/>
      <c r="H26" s="287"/>
      <c r="I26" s="287"/>
      <c r="J26" s="287"/>
      <c r="K26" s="287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0"/>
      <c r="AI26" s="320"/>
      <c r="AJ26" s="320"/>
      <c r="AK26" s="320"/>
      <c r="AL26" s="320"/>
      <c r="AM26" s="320"/>
      <c r="AN26" s="320"/>
      <c r="AO26" s="320"/>
    </row>
    <row r="27" spans="1:41" ht="13.9" customHeight="1" x14ac:dyDescent="0.2">
      <c r="A27" s="81"/>
      <c r="G27" s="320"/>
      <c r="H27" s="81"/>
      <c r="I27" s="81"/>
      <c r="J27" s="81"/>
      <c r="K27" s="81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</row>
    <row r="28" spans="1:41" ht="11.25" customHeight="1" x14ac:dyDescent="0.2">
      <c r="A28" s="81"/>
      <c r="G28" s="315"/>
      <c r="H28" s="81"/>
      <c r="I28" s="81"/>
      <c r="J28" s="81"/>
      <c r="K28" s="81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</row>
    <row r="29" spans="1:41" x14ac:dyDescent="0.2">
      <c r="A29" s="81"/>
      <c r="G29" s="315"/>
      <c r="H29" s="81"/>
      <c r="I29" s="81"/>
      <c r="J29" s="81"/>
      <c r="K29" s="81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</row>
    <row r="30" spans="1:41" x14ac:dyDescent="0.2">
      <c r="A30" s="81"/>
      <c r="G30" s="315"/>
      <c r="H30" s="81"/>
      <c r="I30" s="81"/>
      <c r="J30" s="81"/>
      <c r="K30" s="81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</row>
    <row r="31" spans="1:41" x14ac:dyDescent="0.2">
      <c r="A31" s="81"/>
      <c r="G31" s="315"/>
      <c r="H31" s="81"/>
      <c r="I31" s="81"/>
      <c r="J31" s="81"/>
      <c r="K31" s="81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</row>
    <row r="32" spans="1:41" x14ac:dyDescent="0.2">
      <c r="A32" s="81"/>
      <c r="G32" s="315"/>
      <c r="H32" s="81"/>
      <c r="I32" s="81"/>
      <c r="J32" s="81"/>
      <c r="K32" s="81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</row>
    <row r="33" spans="1:41" s="81" customFormat="1" x14ac:dyDescent="0.2">
      <c r="G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</row>
    <row r="34" spans="1:41" ht="15" x14ac:dyDescent="0.2">
      <c r="A34" s="81"/>
      <c r="B34" s="82" t="s">
        <v>134</v>
      </c>
      <c r="C34" s="281"/>
      <c r="D34" s="83"/>
      <c r="E34" s="84"/>
      <c r="F34" s="282"/>
      <c r="G34" s="283"/>
      <c r="H34" s="81"/>
      <c r="I34" s="81"/>
      <c r="J34" s="81"/>
      <c r="K34" s="81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</row>
    <row r="35" spans="1:41" ht="15" x14ac:dyDescent="0.2">
      <c r="A35" s="81"/>
      <c r="B35" s="284"/>
      <c r="C35" s="135"/>
      <c r="D35" s="136"/>
      <c r="E35" s="136"/>
      <c r="F35" s="280"/>
      <c r="G35" s="87"/>
      <c r="H35" s="81"/>
      <c r="I35" s="81"/>
      <c r="J35" s="81"/>
      <c r="K35" s="81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</row>
    <row r="36" spans="1:41" x14ac:dyDescent="0.2">
      <c r="A36" s="81"/>
      <c r="B36" s="285" t="s">
        <v>157</v>
      </c>
      <c r="C36" s="86"/>
      <c r="D36" s="85"/>
      <c r="E36" s="137"/>
      <c r="F36" s="280"/>
      <c r="G36" s="87"/>
      <c r="H36" s="81"/>
      <c r="I36" s="81"/>
      <c r="J36" s="81"/>
      <c r="K36" s="81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</row>
    <row r="37" spans="1:41" x14ac:dyDescent="0.2">
      <c r="A37" s="81"/>
      <c r="B37" s="285" t="s">
        <v>156</v>
      </c>
      <c r="C37" s="85" t="s">
        <v>135</v>
      </c>
      <c r="D37" s="137" t="s">
        <v>138</v>
      </c>
      <c r="E37" s="86"/>
      <c r="F37" s="86"/>
      <c r="G37" s="87"/>
      <c r="H37" s="81"/>
      <c r="I37" s="81"/>
      <c r="J37" s="81"/>
      <c r="K37" s="81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</row>
    <row r="38" spans="1:41" x14ac:dyDescent="0.2">
      <c r="A38" s="81"/>
      <c r="B38" s="285" t="s">
        <v>137</v>
      </c>
      <c r="C38" s="86"/>
      <c r="D38" s="138"/>
      <c r="E38" s="137"/>
      <c r="F38" s="86"/>
      <c r="G38" s="87"/>
      <c r="H38" s="81"/>
      <c r="I38" s="81"/>
      <c r="J38" s="81"/>
      <c r="K38" s="81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</row>
    <row r="39" spans="1:41" x14ac:dyDescent="0.2">
      <c r="A39" s="81"/>
      <c r="B39" s="286"/>
      <c r="C39" s="88"/>
      <c r="D39" s="88"/>
      <c r="E39" s="88"/>
      <c r="F39" s="88"/>
      <c r="G39" s="89"/>
      <c r="H39" s="81"/>
      <c r="I39" s="81"/>
      <c r="J39" s="81"/>
      <c r="K39" s="81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</row>
    <row r="40" spans="1:41" x14ac:dyDescent="0.2">
      <c r="A40" s="81"/>
      <c r="B40" s="81"/>
      <c r="C40" s="90" t="s">
        <v>152</v>
      </c>
      <c r="D40" s="91"/>
      <c r="E40" s="91"/>
      <c r="F40" s="379" t="s">
        <v>136</v>
      </c>
      <c r="G40" s="380">
        <v>45586</v>
      </c>
      <c r="H40" s="81"/>
      <c r="I40" s="81"/>
      <c r="J40" s="81"/>
      <c r="K40" s="81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</row>
    <row r="41" spans="1:41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</row>
    <row r="42" spans="1:41" x14ac:dyDescent="0.2">
      <c r="A42" s="8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</row>
    <row r="43" spans="1:41" x14ac:dyDescent="0.2">
      <c r="A43" s="315"/>
      <c r="B43" s="315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</row>
    <row r="44" spans="1:41" x14ac:dyDescent="0.2">
      <c r="A44" s="315"/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</row>
    <row r="45" spans="1:41" x14ac:dyDescent="0.2">
      <c r="A45" s="315"/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</row>
    <row r="46" spans="1:41" x14ac:dyDescent="0.2">
      <c r="A46" s="315"/>
      <c r="B46" s="315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</row>
    <row r="47" spans="1:41" x14ac:dyDescent="0.2">
      <c r="A47" s="315"/>
      <c r="B47" s="315"/>
      <c r="C47" s="315"/>
      <c r="D47" s="315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</row>
    <row r="48" spans="1:41" x14ac:dyDescent="0.2">
      <c r="A48" s="315"/>
      <c r="B48" s="315"/>
      <c r="C48" s="315"/>
      <c r="D48" s="315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</row>
    <row r="49" spans="1:41" x14ac:dyDescent="0.2">
      <c r="A49" s="315"/>
      <c r="B49" s="315"/>
      <c r="C49" s="315"/>
      <c r="D49" s="315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</row>
    <row r="50" spans="1:41" x14ac:dyDescent="0.2">
      <c r="A50" s="315"/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</row>
    <row r="51" spans="1:41" x14ac:dyDescent="0.2">
      <c r="A51" s="315"/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</row>
    <row r="52" spans="1:41" x14ac:dyDescent="0.2">
      <c r="A52" s="315"/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</row>
    <row r="53" spans="1:41" x14ac:dyDescent="0.2">
      <c r="A53" s="315"/>
      <c r="B53" s="315"/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</row>
    <row r="54" spans="1:41" x14ac:dyDescent="0.2">
      <c r="A54" s="315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</row>
    <row r="55" spans="1:41" x14ac:dyDescent="0.2">
      <c r="A55" s="315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</row>
  </sheetData>
  <sheetProtection algorithmName="SHA-512" hashValue="skNZ0oLQeYwnkwEqxoVnRSw4e/Xe30cy191tUdGAVVbT5H7OFqw4VOgE0wTuKJZHuDLZpVZ+w2vyS8bUN4O1Ug==" saltValue="OPTQPBSoiMVDshKqOZdwjQ==" spinCount="100000" sheet="1" objects="1" scenarios="1"/>
  <phoneticPr fontId="3" type="noConversion"/>
  <hyperlinks>
    <hyperlink ref="B36" location="'Übersicht zu Vollkosten in SN'!A1" display="Übersicht zu Vollkosten in Sachsen"/>
    <hyperlink ref="B37" location="'Schema für betriebl Kalkulation'!A1" display="Schema für die eigene betriebliche Kalkulation"/>
    <hyperlink ref="B38" location="Hinweise!A1" display="Hinweise zur Vertragsgestaltung"/>
  </hyperlinks>
  <pageMargins left="0.78740157499999996" right="0.78740157499999996" top="0.984251969" bottom="0.85" header="0.4921259845" footer="0.4921259845"/>
  <pageSetup paperSize="9" scale="70" orientation="landscape" horizontalDpi="300" verticalDpi="300" r:id="rId1"/>
  <headerFooter alignWithMargins="0">
    <oddFooter>&amp;C&amp;8Sächsisches Landesamt für Umwelt, Landwirtschaft und Geologie, Abt. 2&amp;R&amp;8&amp;D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7"/>
    <pageSetUpPr fitToPage="1"/>
  </sheetPr>
  <dimension ref="A1:AB168"/>
  <sheetViews>
    <sheetView tabSelected="1" topLeftCell="A2" zoomScaleNormal="100" workbookViewId="0">
      <selection activeCell="B116" sqref="B116"/>
    </sheetView>
  </sheetViews>
  <sheetFormatPr baseColWidth="10" defaultRowHeight="12.75" x14ac:dyDescent="0.2"/>
  <cols>
    <col min="1" max="1" width="7.42578125" customWidth="1"/>
    <col min="2" max="2" width="37.42578125" customWidth="1"/>
    <col min="3" max="3" width="11.42578125" style="1" customWidth="1"/>
    <col min="4" max="4" width="20.42578125" style="2" customWidth="1"/>
    <col min="5" max="5" width="20.42578125" style="5" customWidth="1"/>
    <col min="6" max="6" width="20.42578125" style="4" customWidth="1"/>
    <col min="7" max="7" width="21" customWidth="1"/>
    <col min="8" max="10" width="0" style="81" hidden="1" customWidth="1"/>
    <col min="11" max="11" width="11.42578125" style="81" customWidth="1"/>
    <col min="12" max="14" width="11.42578125" style="315" customWidth="1"/>
  </cols>
  <sheetData>
    <row r="1" spans="1:26" hidden="1" x14ac:dyDescent="0.2">
      <c r="A1" s="81"/>
      <c r="B1" s="81"/>
      <c r="C1" s="77"/>
      <c r="D1" s="198"/>
      <c r="E1" s="194"/>
      <c r="F1" s="199"/>
      <c r="G1" s="81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</row>
    <row r="2" spans="1:26" ht="21.75" customHeight="1" x14ac:dyDescent="0.25">
      <c r="A2" s="81"/>
      <c r="B2" s="352" t="s">
        <v>144</v>
      </c>
      <c r="C2" s="77"/>
      <c r="D2" s="198"/>
      <c r="E2" s="194"/>
      <c r="F2" s="199"/>
      <c r="G2" s="81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</row>
    <row r="3" spans="1:26" ht="18.75" customHeight="1" x14ac:dyDescent="0.2">
      <c r="A3" s="81"/>
      <c r="B3" s="200" t="s">
        <v>162</v>
      </c>
      <c r="C3" s="77"/>
      <c r="D3" s="198"/>
      <c r="E3" s="194"/>
      <c r="F3" s="200"/>
      <c r="G3" s="81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</row>
    <row r="4" spans="1:26" ht="14.25" customHeight="1" x14ac:dyDescent="0.2">
      <c r="A4" s="81"/>
      <c r="B4" s="200" t="s">
        <v>143</v>
      </c>
      <c r="C4" s="200"/>
      <c r="D4" s="198"/>
      <c r="E4" s="194"/>
      <c r="F4" s="199"/>
      <c r="G4" s="199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</row>
    <row r="5" spans="1:26" ht="15.75" x14ac:dyDescent="0.25">
      <c r="A5" s="81"/>
      <c r="B5" s="353" t="s">
        <v>104</v>
      </c>
      <c r="C5" s="77"/>
      <c r="D5" s="354">
        <v>1</v>
      </c>
      <c r="E5" s="355">
        <v>2</v>
      </c>
      <c r="F5" s="356">
        <v>3</v>
      </c>
      <c r="G5" s="357">
        <v>4</v>
      </c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</row>
    <row r="6" spans="1:26" ht="16.5" customHeight="1" x14ac:dyDescent="0.2">
      <c r="A6" s="81"/>
      <c r="B6" s="201"/>
      <c r="C6" s="77"/>
      <c r="D6" s="188" t="s">
        <v>108</v>
      </c>
      <c r="E6" s="189" t="s">
        <v>109</v>
      </c>
      <c r="F6" s="80" t="s">
        <v>110</v>
      </c>
      <c r="G6" s="190" t="s">
        <v>111</v>
      </c>
      <c r="J6" s="315"/>
      <c r="K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</row>
    <row r="7" spans="1:26" s="19" customFormat="1" ht="8.25" customHeight="1" x14ac:dyDescent="0.2">
      <c r="A7" s="81"/>
      <c r="B7" s="201"/>
      <c r="C7" s="77"/>
      <c r="D7" s="244"/>
      <c r="E7" s="245"/>
      <c r="F7" s="244"/>
      <c r="G7" s="245"/>
      <c r="H7" s="81"/>
      <c r="I7" s="81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</row>
    <row r="8" spans="1:26" x14ac:dyDescent="0.2">
      <c r="A8" s="81"/>
      <c r="B8" s="16" t="s">
        <v>0</v>
      </c>
      <c r="C8" s="76"/>
      <c r="D8" s="17"/>
      <c r="E8" s="78"/>
      <c r="F8" s="79"/>
      <c r="G8" s="18"/>
      <c r="J8" s="315"/>
      <c r="K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</row>
    <row r="9" spans="1:26" x14ac:dyDescent="0.2">
      <c r="A9" s="81"/>
      <c r="B9" s="92" t="s">
        <v>1</v>
      </c>
      <c r="C9" s="93" t="s">
        <v>2</v>
      </c>
      <c r="D9" s="94">
        <v>430</v>
      </c>
      <c r="E9" s="95">
        <v>450</v>
      </c>
      <c r="F9" s="95">
        <v>350</v>
      </c>
      <c r="G9" s="96">
        <v>430</v>
      </c>
      <c r="J9" s="315"/>
      <c r="K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</row>
    <row r="10" spans="1:26" x14ac:dyDescent="0.2">
      <c r="A10" s="81"/>
      <c r="B10" s="92" t="s">
        <v>3</v>
      </c>
      <c r="C10" s="93" t="s">
        <v>2</v>
      </c>
      <c r="D10" s="210">
        <f>D9*D11%</f>
        <v>137.6</v>
      </c>
      <c r="E10" s="227">
        <f>E9*E11%</f>
        <v>144</v>
      </c>
      <c r="F10" s="227">
        <f>F9*F11%</f>
        <v>112</v>
      </c>
      <c r="G10" s="228">
        <f>G9*G11%</f>
        <v>137.6</v>
      </c>
      <c r="J10" s="315"/>
      <c r="K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</row>
    <row r="11" spans="1:26" x14ac:dyDescent="0.2">
      <c r="A11" s="81"/>
      <c r="B11" s="98" t="s">
        <v>4</v>
      </c>
      <c r="C11" s="93" t="s">
        <v>5</v>
      </c>
      <c r="D11" s="99">
        <v>32</v>
      </c>
      <c r="E11" s="100">
        <v>32</v>
      </c>
      <c r="F11" s="100">
        <v>32</v>
      </c>
      <c r="G11" s="101">
        <v>32</v>
      </c>
      <c r="J11" s="315"/>
      <c r="K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</row>
    <row r="12" spans="1:26" x14ac:dyDescent="0.2">
      <c r="A12" s="81"/>
      <c r="B12" s="97" t="s">
        <v>92</v>
      </c>
      <c r="C12" s="93" t="s">
        <v>5</v>
      </c>
      <c r="D12" s="99">
        <v>7</v>
      </c>
      <c r="E12" s="100">
        <v>7</v>
      </c>
      <c r="F12" s="100">
        <v>7</v>
      </c>
      <c r="G12" s="101">
        <v>7</v>
      </c>
      <c r="J12" s="315"/>
      <c r="K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</row>
    <row r="13" spans="1:26" x14ac:dyDescent="0.2">
      <c r="A13" s="81"/>
      <c r="B13" s="92" t="s">
        <v>6</v>
      </c>
      <c r="C13" s="93" t="s">
        <v>2</v>
      </c>
      <c r="D13" s="102">
        <f>D9-(D9*D12)%</f>
        <v>399.9</v>
      </c>
      <c r="E13" s="103">
        <f>E9-(E9*E12)%</f>
        <v>418.5</v>
      </c>
      <c r="F13" s="103">
        <f>F9-(F9*F12)%</f>
        <v>325.5</v>
      </c>
      <c r="G13" s="104">
        <f>G9-(G9*G12)%</f>
        <v>399.9</v>
      </c>
      <c r="J13" s="315"/>
      <c r="K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</row>
    <row r="14" spans="1:26" x14ac:dyDescent="0.2">
      <c r="A14" s="81"/>
      <c r="B14" s="97" t="s">
        <v>93</v>
      </c>
      <c r="C14" s="93" t="s">
        <v>5</v>
      </c>
      <c r="D14" s="102">
        <v>4.9000000000000004</v>
      </c>
      <c r="E14" s="100">
        <v>5</v>
      </c>
      <c r="F14" s="100">
        <v>5</v>
      </c>
      <c r="G14" s="101">
        <v>4.9000000000000004</v>
      </c>
      <c r="J14" s="315"/>
      <c r="K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</row>
    <row r="15" spans="1:26" x14ac:dyDescent="0.2">
      <c r="A15" s="81"/>
      <c r="B15" s="92" t="s">
        <v>7</v>
      </c>
      <c r="C15" s="118" t="s">
        <v>2</v>
      </c>
      <c r="D15" s="210">
        <f>D16/D11%</f>
        <v>378.83</v>
      </c>
      <c r="E15" s="227">
        <f>E16/E11%</f>
        <v>396</v>
      </c>
      <c r="F15" s="227">
        <f>F16/F11%</f>
        <v>308</v>
      </c>
      <c r="G15" s="228">
        <f>G16/G11%</f>
        <v>378.83</v>
      </c>
      <c r="J15" s="315"/>
      <c r="K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</row>
    <row r="16" spans="1:26" x14ac:dyDescent="0.2">
      <c r="A16" s="81"/>
      <c r="B16" s="105" t="s">
        <v>8</v>
      </c>
      <c r="C16" s="93" t="s">
        <v>2</v>
      </c>
      <c r="D16" s="229">
        <f>(D9-(D9*(D12+D14)%))*D11%</f>
        <v>121.2256</v>
      </c>
      <c r="E16" s="230">
        <f>(E9-(E9*(E12+E14)%))*E11%</f>
        <v>126.72</v>
      </c>
      <c r="F16" s="230">
        <f>(F9-(F9*(F12+F14)%))*F11%</f>
        <v>98.56</v>
      </c>
      <c r="G16" s="231">
        <f>(G9-(G9*(G12+G14)%))*G11%</f>
        <v>121.2256</v>
      </c>
      <c r="J16" s="315"/>
      <c r="K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</row>
    <row r="17" spans="1:26" hidden="1" x14ac:dyDescent="0.2">
      <c r="A17" s="81"/>
      <c r="B17" s="105" t="s">
        <v>9</v>
      </c>
      <c r="C17" s="93" t="s">
        <v>5</v>
      </c>
      <c r="D17" s="229">
        <v>90</v>
      </c>
      <c r="E17" s="230">
        <v>90</v>
      </c>
      <c r="F17" s="230">
        <v>90</v>
      </c>
      <c r="G17" s="231">
        <v>90</v>
      </c>
      <c r="J17" s="315"/>
      <c r="K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</row>
    <row r="18" spans="1:26" hidden="1" x14ac:dyDescent="0.2">
      <c r="A18" s="81"/>
      <c r="B18" s="105" t="s">
        <v>165</v>
      </c>
      <c r="C18" s="93" t="s">
        <v>167</v>
      </c>
      <c r="D18" s="229">
        <v>650</v>
      </c>
      <c r="E18" s="230">
        <v>650</v>
      </c>
      <c r="F18" s="230">
        <v>650</v>
      </c>
      <c r="G18" s="231">
        <v>650</v>
      </c>
      <c r="J18" s="315"/>
      <c r="K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</row>
    <row r="19" spans="1:26" s="315" customFormat="1" hidden="1" x14ac:dyDescent="0.2">
      <c r="B19" s="331" t="s">
        <v>166</v>
      </c>
      <c r="C19" s="332" t="s">
        <v>167</v>
      </c>
      <c r="D19" s="333">
        <f>D18*0.523</f>
        <v>339.95</v>
      </c>
      <c r="E19" s="334">
        <f>E18*0.523</f>
        <v>339.95</v>
      </c>
      <c r="F19" s="334">
        <f>F18*0.523</f>
        <v>339.95</v>
      </c>
      <c r="G19" s="335">
        <f>G18*0.523</f>
        <v>339.95</v>
      </c>
    </row>
    <row r="20" spans="1:26" s="316" customFormat="1" x14ac:dyDescent="0.2">
      <c r="B20" s="331" t="s">
        <v>163</v>
      </c>
      <c r="C20" s="332" t="s">
        <v>164</v>
      </c>
      <c r="D20" s="336">
        <f>D16*0.96*D19%*10</f>
        <v>3956.22170112</v>
      </c>
      <c r="E20" s="336">
        <f>E16*0.96*E19%*10</f>
        <v>4135.5325439999997</v>
      </c>
      <c r="F20" s="337">
        <f>F16*0.96*F19%*10</f>
        <v>3216.5253119999993</v>
      </c>
      <c r="G20" s="336">
        <f>G16*0.96*G19%*10</f>
        <v>3956.22170112</v>
      </c>
    </row>
    <row r="21" spans="1:26" s="6" customFormat="1" x14ac:dyDescent="0.2">
      <c r="A21" s="294"/>
      <c r="B21" s="98"/>
      <c r="C21" s="106"/>
      <c r="D21" s="107"/>
      <c r="E21" s="108"/>
      <c r="F21" s="109"/>
      <c r="G21" s="110"/>
      <c r="H21" s="81"/>
      <c r="I21" s="81"/>
      <c r="J21" s="315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</row>
    <row r="22" spans="1:26" x14ac:dyDescent="0.2">
      <c r="A22" s="81"/>
      <c r="B22" s="111" t="s">
        <v>100</v>
      </c>
      <c r="C22" s="112"/>
      <c r="D22" s="113"/>
      <c r="E22" s="114"/>
      <c r="F22" s="115"/>
      <c r="G22" s="116"/>
      <c r="J22" s="315"/>
      <c r="K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</row>
    <row r="23" spans="1:26" x14ac:dyDescent="0.2">
      <c r="A23" s="81"/>
      <c r="B23" s="117" t="s">
        <v>14</v>
      </c>
      <c r="C23" s="118" t="s">
        <v>116</v>
      </c>
      <c r="D23" s="99">
        <v>1.9</v>
      </c>
      <c r="E23" s="119">
        <v>1.9</v>
      </c>
      <c r="F23" s="100">
        <v>1.8</v>
      </c>
      <c r="G23" s="120">
        <v>2</v>
      </c>
      <c r="J23" s="315"/>
      <c r="K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</row>
    <row r="24" spans="1:26" x14ac:dyDescent="0.2">
      <c r="A24" s="81"/>
      <c r="B24" s="117" t="s">
        <v>16</v>
      </c>
      <c r="C24" s="118" t="s">
        <v>153</v>
      </c>
      <c r="D24" s="100">
        <v>115</v>
      </c>
      <c r="E24" s="100">
        <v>115</v>
      </c>
      <c r="F24" s="100">
        <v>115</v>
      </c>
      <c r="G24" s="100">
        <v>115</v>
      </c>
      <c r="J24" s="315"/>
      <c r="K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</row>
    <row r="25" spans="1:26" s="19" customFormat="1" ht="12" customHeight="1" x14ac:dyDescent="0.2">
      <c r="A25" s="81"/>
      <c r="B25" s="117" t="s">
        <v>17</v>
      </c>
      <c r="C25" s="118" t="s">
        <v>12</v>
      </c>
      <c r="D25" s="233">
        <f>D23*D24</f>
        <v>218.5</v>
      </c>
      <c r="E25" s="233">
        <f>E23*E24</f>
        <v>218.5</v>
      </c>
      <c r="F25" s="233">
        <f>F23*F24</f>
        <v>207</v>
      </c>
      <c r="G25" s="233">
        <f>G23*G24</f>
        <v>230</v>
      </c>
      <c r="H25" s="81"/>
      <c r="I25" s="81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</row>
    <row r="26" spans="1:26" s="19" customFormat="1" x14ac:dyDescent="0.2">
      <c r="A26" s="81"/>
      <c r="B26" s="117" t="s">
        <v>18</v>
      </c>
      <c r="C26" s="118" t="s">
        <v>19</v>
      </c>
      <c r="D26" s="236">
        <v>1</v>
      </c>
      <c r="E26" s="236">
        <v>1</v>
      </c>
      <c r="F26" s="236">
        <v>1</v>
      </c>
      <c r="G26" s="236">
        <v>1</v>
      </c>
      <c r="H26" s="81"/>
      <c r="I26" s="81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</row>
    <row r="27" spans="1:26" s="19" customFormat="1" x14ac:dyDescent="0.2">
      <c r="A27" s="81"/>
      <c r="B27" s="117" t="s">
        <v>20</v>
      </c>
      <c r="C27" s="118" t="s">
        <v>21</v>
      </c>
      <c r="D27" s="236">
        <v>70</v>
      </c>
      <c r="E27" s="236">
        <v>70</v>
      </c>
      <c r="F27" s="236">
        <v>70</v>
      </c>
      <c r="G27" s="236">
        <v>44</v>
      </c>
      <c r="H27" s="81"/>
      <c r="I27" s="81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</row>
    <row r="28" spans="1:26" s="19" customFormat="1" x14ac:dyDescent="0.2">
      <c r="A28" s="81"/>
      <c r="B28" s="117" t="s">
        <v>22</v>
      </c>
      <c r="C28" s="118" t="s">
        <v>19</v>
      </c>
      <c r="D28" s="236"/>
      <c r="E28" s="238"/>
      <c r="F28" s="236"/>
      <c r="G28" s="238"/>
      <c r="H28" s="81"/>
      <c r="I28" s="81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</row>
    <row r="29" spans="1:26" s="19" customFormat="1" x14ac:dyDescent="0.2">
      <c r="A29" s="81"/>
      <c r="B29" s="117" t="s">
        <v>23</v>
      </c>
      <c r="C29" s="118" t="s">
        <v>21</v>
      </c>
      <c r="D29" s="236"/>
      <c r="E29" s="238"/>
      <c r="F29" s="236"/>
      <c r="G29" s="238"/>
      <c r="H29" s="81"/>
      <c r="I29" s="81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</row>
    <row r="30" spans="1:26" s="19" customFormat="1" x14ac:dyDescent="0.2">
      <c r="A30" s="81"/>
      <c r="B30" s="117" t="s">
        <v>24</v>
      </c>
      <c r="C30" s="118" t="s">
        <v>12</v>
      </c>
      <c r="D30" s="233">
        <f>D26*D27+D28*D29</f>
        <v>70</v>
      </c>
      <c r="E30" s="233">
        <f>E26*E27+E28*E29</f>
        <v>70</v>
      </c>
      <c r="F30" s="233">
        <f>F26*F27+F28*F29</f>
        <v>70</v>
      </c>
      <c r="G30" s="233">
        <f>G26*G27+G28*G29</f>
        <v>44</v>
      </c>
      <c r="H30" s="81"/>
      <c r="I30" s="81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</row>
    <row r="31" spans="1:26" s="19" customFormat="1" x14ac:dyDescent="0.2">
      <c r="A31" s="81"/>
      <c r="B31" s="117" t="s">
        <v>25</v>
      </c>
      <c r="C31" s="118" t="s">
        <v>15</v>
      </c>
      <c r="D31" s="233">
        <v>128</v>
      </c>
      <c r="E31" s="233">
        <v>134</v>
      </c>
      <c r="F31" s="233">
        <v>117</v>
      </c>
      <c r="G31" s="233">
        <v>134</v>
      </c>
      <c r="H31" s="81"/>
      <c r="I31" s="81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</row>
    <row r="32" spans="1:26" s="19" customFormat="1" x14ac:dyDescent="0.2">
      <c r="A32" s="81"/>
      <c r="B32" s="117" t="s">
        <v>26</v>
      </c>
      <c r="C32" s="118" t="s">
        <v>15</v>
      </c>
      <c r="D32" s="233">
        <f>D9*0.18</f>
        <v>77.399999999999991</v>
      </c>
      <c r="E32" s="233">
        <f>E9*0.18</f>
        <v>81</v>
      </c>
      <c r="F32" s="233">
        <f>F9*0.18</f>
        <v>63</v>
      </c>
      <c r="G32" s="233">
        <f>G9*0.18</f>
        <v>77.399999999999991</v>
      </c>
      <c r="H32" s="81"/>
      <c r="I32" s="81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</row>
    <row r="33" spans="1:26" s="19" customFormat="1" x14ac:dyDescent="0.2">
      <c r="A33" s="81"/>
      <c r="B33" s="117" t="s">
        <v>27</v>
      </c>
      <c r="C33" s="118" t="s">
        <v>15</v>
      </c>
      <c r="D33" s="233">
        <f>D9*0.55</f>
        <v>236.50000000000003</v>
      </c>
      <c r="E33" s="233">
        <f>E9*0.55</f>
        <v>247.50000000000003</v>
      </c>
      <c r="F33" s="233">
        <f>F9*0.55</f>
        <v>192.50000000000003</v>
      </c>
      <c r="G33" s="233">
        <f>G9*0.55</f>
        <v>236.50000000000003</v>
      </c>
      <c r="H33" s="81"/>
      <c r="I33" s="81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</row>
    <row r="34" spans="1:26" s="19" customFormat="1" x14ac:dyDescent="0.2">
      <c r="A34" s="81"/>
      <c r="B34" s="117" t="s">
        <v>28</v>
      </c>
      <c r="C34" s="118" t="s">
        <v>12</v>
      </c>
      <c r="D34" s="233">
        <f>D31*1.3+D32*1.1+D33*0.8</f>
        <v>440.74000000000007</v>
      </c>
      <c r="E34" s="233">
        <f t="shared" ref="E34:G34" si="0">E31*1.3+E32*1.1+E33*0.8</f>
        <v>461.30000000000007</v>
      </c>
      <c r="F34" s="233">
        <f t="shared" si="0"/>
        <v>375.40000000000003</v>
      </c>
      <c r="G34" s="233">
        <f t="shared" si="0"/>
        <v>448.54000000000008</v>
      </c>
      <c r="H34" s="81"/>
      <c r="I34" s="81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</row>
    <row r="35" spans="1:26" x14ac:dyDescent="0.2">
      <c r="A35" s="81"/>
      <c r="B35" s="117" t="s">
        <v>29</v>
      </c>
      <c r="C35" s="118" t="s">
        <v>12</v>
      </c>
      <c r="D35" s="233">
        <f>(2100*4.95)/1000</f>
        <v>10.395</v>
      </c>
      <c r="E35" s="233">
        <f>(2300*4.95)/1000</f>
        <v>11.385</v>
      </c>
      <c r="F35" s="233">
        <f>(1700*4.95)/1000</f>
        <v>8.4149999999999991</v>
      </c>
      <c r="G35" s="233">
        <f>(2100*4.95)/1000</f>
        <v>10.395</v>
      </c>
      <c r="J35" s="315"/>
      <c r="K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</row>
    <row r="36" spans="1:26" x14ac:dyDescent="0.2">
      <c r="A36" s="81"/>
      <c r="B36" s="117" t="s">
        <v>30</v>
      </c>
      <c r="C36" s="118" t="s">
        <v>12</v>
      </c>
      <c r="D36" s="233">
        <v>113</v>
      </c>
      <c r="E36" s="233">
        <v>113</v>
      </c>
      <c r="F36" s="233">
        <v>109</v>
      </c>
      <c r="G36" s="233">
        <v>113</v>
      </c>
      <c r="J36" s="315"/>
      <c r="K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</row>
    <row r="37" spans="1:26" x14ac:dyDescent="0.2">
      <c r="A37" s="81"/>
      <c r="B37" s="117" t="s">
        <v>31</v>
      </c>
      <c r="C37" s="118" t="s">
        <v>12</v>
      </c>
      <c r="D37" s="233">
        <v>132.1</v>
      </c>
      <c r="E37" s="233">
        <v>132.1</v>
      </c>
      <c r="F37" s="233">
        <v>128</v>
      </c>
      <c r="G37" s="233">
        <v>132</v>
      </c>
      <c r="J37" s="315"/>
      <c r="K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</row>
    <row r="38" spans="1:26" x14ac:dyDescent="0.2">
      <c r="A38" s="81"/>
      <c r="B38" s="117" t="s">
        <v>32</v>
      </c>
      <c r="C38" s="118" t="s">
        <v>12</v>
      </c>
      <c r="D38" s="232">
        <v>0</v>
      </c>
      <c r="E38" s="233">
        <v>0</v>
      </c>
      <c r="F38" s="233">
        <v>0</v>
      </c>
      <c r="G38" s="233">
        <v>0</v>
      </c>
      <c r="J38" s="315"/>
      <c r="K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</row>
    <row r="39" spans="1:26" x14ac:dyDescent="0.2">
      <c r="A39" s="81"/>
      <c r="B39" s="117" t="s">
        <v>33</v>
      </c>
      <c r="C39" s="118" t="s">
        <v>12</v>
      </c>
      <c r="D39" s="232">
        <f>SUM(D36:D38)</f>
        <v>245.1</v>
      </c>
      <c r="E39" s="233">
        <f>SUM(E36:E38)</f>
        <v>245.1</v>
      </c>
      <c r="F39" s="233">
        <f>SUM(F36:F38)</f>
        <v>237</v>
      </c>
      <c r="G39" s="233">
        <f>SUM(G36:G38)</f>
        <v>245</v>
      </c>
      <c r="J39" s="315"/>
      <c r="K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</row>
    <row r="40" spans="1:26" x14ac:dyDescent="0.2">
      <c r="A40" s="81"/>
      <c r="B40" s="117" t="s">
        <v>34</v>
      </c>
      <c r="C40" s="118" t="s">
        <v>12</v>
      </c>
      <c r="D40" s="232">
        <v>0</v>
      </c>
      <c r="E40" s="233">
        <v>0</v>
      </c>
      <c r="F40" s="233">
        <v>0</v>
      </c>
      <c r="G40" s="341">
        <v>5</v>
      </c>
      <c r="J40" s="315"/>
      <c r="K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</row>
    <row r="41" spans="1:26" s="19" customFormat="1" x14ac:dyDescent="0.2">
      <c r="A41" s="81"/>
      <c r="B41" s="117" t="s">
        <v>33</v>
      </c>
      <c r="C41" s="118" t="s">
        <v>12</v>
      </c>
      <c r="D41" s="232">
        <f>D39+(D39*D40%)</f>
        <v>245.1</v>
      </c>
      <c r="E41" s="233">
        <f>E39+(E39*E40%)</f>
        <v>245.1</v>
      </c>
      <c r="F41" s="233">
        <f>F39+(F39*F40%)</f>
        <v>237</v>
      </c>
      <c r="G41" s="234">
        <f>G39+(G39*G40%)</f>
        <v>257.25</v>
      </c>
      <c r="H41" s="81"/>
      <c r="I41" s="81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</row>
    <row r="42" spans="1:26" x14ac:dyDescent="0.2">
      <c r="A42" s="81"/>
      <c r="B42" s="117" t="s">
        <v>35</v>
      </c>
      <c r="C42" s="118" t="s">
        <v>36</v>
      </c>
      <c r="D42" s="124">
        <v>0</v>
      </c>
      <c r="E42" s="125">
        <v>0</v>
      </c>
      <c r="F42" s="125">
        <v>0</v>
      </c>
      <c r="G42" s="126">
        <v>0</v>
      </c>
      <c r="J42" s="315"/>
      <c r="K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</row>
    <row r="43" spans="1:26" x14ac:dyDescent="0.2">
      <c r="A43" s="81"/>
      <c r="B43" s="117" t="s">
        <v>37</v>
      </c>
      <c r="C43" s="118" t="s">
        <v>12</v>
      </c>
      <c r="D43" s="232">
        <v>0</v>
      </c>
      <c r="E43" s="233">
        <v>0</v>
      </c>
      <c r="F43" s="233">
        <v>0</v>
      </c>
      <c r="G43" s="234">
        <v>0</v>
      </c>
      <c r="J43" s="315"/>
      <c r="K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</row>
    <row r="44" spans="1:26" ht="12.75" customHeight="1" x14ac:dyDescent="0.2">
      <c r="A44" s="81"/>
      <c r="B44" s="117" t="s">
        <v>38</v>
      </c>
      <c r="C44" s="118" t="s">
        <v>12</v>
      </c>
      <c r="D44" s="121">
        <v>0</v>
      </c>
      <c r="E44" s="122">
        <v>0</v>
      </c>
      <c r="F44" s="122">
        <v>0</v>
      </c>
      <c r="G44" s="123">
        <v>0</v>
      </c>
      <c r="J44" s="315"/>
      <c r="K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</row>
    <row r="45" spans="1:26" ht="12.75" customHeight="1" x14ac:dyDescent="0.2">
      <c r="A45" s="81"/>
      <c r="B45" s="117" t="s">
        <v>39</v>
      </c>
      <c r="C45" s="118" t="s">
        <v>19</v>
      </c>
      <c r="D45" s="119">
        <v>0.33</v>
      </c>
      <c r="E45" s="120">
        <v>0.33</v>
      </c>
      <c r="F45" s="119">
        <v>0.33</v>
      </c>
      <c r="G45" s="119">
        <v>0.33</v>
      </c>
      <c r="J45" s="315"/>
      <c r="K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</row>
    <row r="46" spans="1:26" x14ac:dyDescent="0.2">
      <c r="A46" s="81"/>
      <c r="B46" s="117" t="s">
        <v>96</v>
      </c>
      <c r="C46" s="118" t="s">
        <v>12</v>
      </c>
      <c r="D46" s="233">
        <f>((D9/0.65/10)*0.25)+(D9/10*2*D45)</f>
        <v>44.918461538461543</v>
      </c>
      <c r="E46" s="233">
        <f>((E9/0.65/10)*0.25)+(E9/10*2*E45)</f>
        <v>47.007692307692309</v>
      </c>
      <c r="F46" s="233">
        <f>((F9/0.65/10)*0.25)+(F9/10*2*F45)</f>
        <v>36.561538461538461</v>
      </c>
      <c r="G46" s="233">
        <f>((G9/0.65/10)*0.25)+(G9/10*2*G45)</f>
        <v>44.918461538461543</v>
      </c>
      <c r="J46" s="315"/>
      <c r="K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</row>
    <row r="47" spans="1:26" x14ac:dyDescent="0.2">
      <c r="A47" s="81"/>
      <c r="B47" s="117" t="s">
        <v>149</v>
      </c>
      <c r="C47" s="118" t="s">
        <v>12</v>
      </c>
      <c r="D47" s="121">
        <v>0</v>
      </c>
      <c r="E47" s="122">
        <v>0</v>
      </c>
      <c r="F47" s="122">
        <v>0</v>
      </c>
      <c r="G47" s="123">
        <v>0</v>
      </c>
      <c r="J47" s="315"/>
      <c r="K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</row>
    <row r="48" spans="1:26" x14ac:dyDescent="0.2">
      <c r="A48" s="81"/>
      <c r="B48" s="127" t="s">
        <v>41</v>
      </c>
      <c r="C48" s="118" t="s">
        <v>12</v>
      </c>
      <c r="D48" s="386">
        <f>D25+D30+D34+D35+D41+D43+D44+D46</f>
        <v>1029.6534615384617</v>
      </c>
      <c r="E48" s="387">
        <f>E25+E30+E34+E35+E41+E43+E44+E46</f>
        <v>1053.2926923076925</v>
      </c>
      <c r="F48" s="388">
        <f>F25+F30+F34+F35+F41+F43+F44+F46</f>
        <v>934.37653846153853</v>
      </c>
      <c r="G48" s="389">
        <f>G25+G30+G34+G35+G41+G43+G44+G46</f>
        <v>1035.1034615384615</v>
      </c>
      <c r="J48" s="315"/>
      <c r="K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</row>
    <row r="49" spans="1:26" x14ac:dyDescent="0.2">
      <c r="A49" s="81"/>
      <c r="B49" s="127"/>
      <c r="C49" s="128"/>
      <c r="D49" s="94"/>
      <c r="E49" s="129"/>
      <c r="F49" s="95"/>
      <c r="G49" s="130"/>
      <c r="J49" s="315"/>
      <c r="K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</row>
    <row r="50" spans="1:26" x14ac:dyDescent="0.2">
      <c r="A50" s="81"/>
      <c r="B50" s="111" t="s">
        <v>42</v>
      </c>
      <c r="C50" s="112"/>
      <c r="D50" s="113"/>
      <c r="E50" s="114"/>
      <c r="F50" s="115"/>
      <c r="G50" s="116"/>
      <c r="J50" s="315"/>
      <c r="K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</row>
    <row r="51" spans="1:26" s="19" customFormat="1" x14ac:dyDescent="0.2">
      <c r="A51" s="81"/>
      <c r="B51" s="117" t="s">
        <v>43</v>
      </c>
      <c r="C51" s="118" t="s">
        <v>12</v>
      </c>
      <c r="D51" s="314">
        <f>(D92-D89)*19.5</f>
        <v>231.07500000000002</v>
      </c>
      <c r="E51" s="314">
        <f t="shared" ref="E51:J51" si="1">(E92-E89)*19.5</f>
        <v>231.07500000000002</v>
      </c>
      <c r="F51" s="314">
        <f t="shared" si="1"/>
        <v>225.22500000000002</v>
      </c>
      <c r="G51" s="314">
        <f t="shared" si="1"/>
        <v>231.07500000000002</v>
      </c>
      <c r="H51" s="314">
        <f t="shared" si="1"/>
        <v>0</v>
      </c>
      <c r="I51" s="314">
        <f t="shared" si="1"/>
        <v>0</v>
      </c>
      <c r="J51" s="314">
        <f t="shared" si="1"/>
        <v>0</v>
      </c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</row>
    <row r="52" spans="1:26" x14ac:dyDescent="0.2">
      <c r="A52" s="81"/>
      <c r="B52" s="117" t="s">
        <v>112</v>
      </c>
      <c r="C52" s="118" t="s">
        <v>12</v>
      </c>
      <c r="D52" s="230">
        <v>340</v>
      </c>
      <c r="E52" s="230">
        <v>340</v>
      </c>
      <c r="F52" s="230">
        <v>340</v>
      </c>
      <c r="G52" s="230">
        <v>340</v>
      </c>
      <c r="H52" s="81" t="s">
        <v>161</v>
      </c>
      <c r="J52" s="315"/>
      <c r="K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</row>
    <row r="53" spans="1:26" s="19" customFormat="1" x14ac:dyDescent="0.2">
      <c r="A53" s="81"/>
      <c r="B53" s="131" t="s">
        <v>44</v>
      </c>
      <c r="C53" s="118" t="s">
        <v>45</v>
      </c>
      <c r="D53" s="235">
        <v>650</v>
      </c>
      <c r="E53" s="236">
        <v>650</v>
      </c>
      <c r="F53" s="236">
        <v>650</v>
      </c>
      <c r="G53" s="237">
        <v>650</v>
      </c>
      <c r="H53" s="81"/>
      <c r="I53" s="81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</row>
    <row r="54" spans="1:26" s="19" customFormat="1" x14ac:dyDescent="0.2">
      <c r="A54" s="81"/>
      <c r="B54" s="131" t="s">
        <v>46</v>
      </c>
      <c r="C54" s="118" t="s">
        <v>10</v>
      </c>
      <c r="D54" s="232">
        <f>(D9-(D9*D12%))/D53*100</f>
        <v>61.523076923076928</v>
      </c>
      <c r="E54" s="233">
        <f>(E9-(E9*E12%))/E53*100</f>
        <v>64.384615384615387</v>
      </c>
      <c r="F54" s="233">
        <f>(F9-(F9*F12%))/F53*100</f>
        <v>50.076923076923073</v>
      </c>
      <c r="G54" s="234">
        <f>(G9-(G9*G12%))/G53*100</f>
        <v>61.523076923076928</v>
      </c>
      <c r="H54" s="81"/>
      <c r="I54" s="81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</row>
    <row r="55" spans="1:26" s="19" customFormat="1" x14ac:dyDescent="0.2">
      <c r="A55" s="81"/>
      <c r="B55" s="131" t="s">
        <v>47</v>
      </c>
      <c r="C55" s="118" t="s">
        <v>12</v>
      </c>
      <c r="D55" s="336">
        <f>D54*45</f>
        <v>2768.5384615384619</v>
      </c>
      <c r="E55" s="336">
        <f>E54*45</f>
        <v>2897.3076923076924</v>
      </c>
      <c r="F55" s="336">
        <f>F54*45</f>
        <v>2253.4615384615381</v>
      </c>
      <c r="G55" s="336">
        <f>G54*45</f>
        <v>2768.5384615384619</v>
      </c>
      <c r="H55" s="81"/>
      <c r="I55" s="81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</row>
    <row r="56" spans="1:26" s="19" customFormat="1" x14ac:dyDescent="0.2">
      <c r="A56" s="81"/>
      <c r="B56" s="117" t="s">
        <v>155</v>
      </c>
      <c r="C56" s="118" t="s">
        <v>12</v>
      </c>
      <c r="D56" s="232">
        <f>D55*4%+D55*0.5%</f>
        <v>124.5842307692308</v>
      </c>
      <c r="E56" s="233">
        <f>E55*4%+E55*0.5%</f>
        <v>130.37884615384615</v>
      </c>
      <c r="F56" s="233">
        <f>F55*4%+F55*0.5%</f>
        <v>101.40576923076922</v>
      </c>
      <c r="G56" s="234">
        <f>G55*4%+G55*0.5%</f>
        <v>124.5842307692308</v>
      </c>
      <c r="H56" s="81"/>
      <c r="I56" s="81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</row>
    <row r="57" spans="1:26" s="19" customFormat="1" x14ac:dyDescent="0.2">
      <c r="A57" s="81"/>
      <c r="B57" s="131" t="s">
        <v>49</v>
      </c>
      <c r="C57" s="118" t="s">
        <v>50</v>
      </c>
      <c r="D57" s="232">
        <v>60</v>
      </c>
      <c r="E57" s="233">
        <v>50</v>
      </c>
      <c r="F57" s="233">
        <v>35</v>
      </c>
      <c r="G57" s="234">
        <v>40</v>
      </c>
      <c r="H57" s="81"/>
      <c r="I57" s="81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</row>
    <row r="58" spans="1:26" s="19" customFormat="1" x14ac:dyDescent="0.2">
      <c r="A58" s="81"/>
      <c r="B58" s="131" t="s">
        <v>51</v>
      </c>
      <c r="C58" s="118" t="s">
        <v>52</v>
      </c>
      <c r="D58" s="239">
        <v>5.7</v>
      </c>
      <c r="E58" s="239">
        <v>5.7</v>
      </c>
      <c r="F58" s="239">
        <v>5.7</v>
      </c>
      <c r="G58" s="239">
        <v>5.7</v>
      </c>
      <c r="H58" s="81"/>
      <c r="I58" s="81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</row>
    <row r="59" spans="1:26" s="19" customFormat="1" x14ac:dyDescent="0.2">
      <c r="A59" s="81"/>
      <c r="B59" s="131" t="s">
        <v>53</v>
      </c>
      <c r="C59" s="118" t="s">
        <v>12</v>
      </c>
      <c r="D59" s="232">
        <f>D57*D58</f>
        <v>342</v>
      </c>
      <c r="E59" s="233">
        <f>E57*E58</f>
        <v>285</v>
      </c>
      <c r="F59" s="234">
        <f>F57*F58</f>
        <v>199.5</v>
      </c>
      <c r="G59" s="234">
        <f>G57*G58</f>
        <v>228</v>
      </c>
      <c r="H59" s="81"/>
      <c r="I59" s="81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</row>
    <row r="60" spans="1:26" s="19" customFormat="1" x14ac:dyDescent="0.2">
      <c r="A60" s="81"/>
      <c r="B60" s="340" t="s">
        <v>171</v>
      </c>
      <c r="C60" s="93" t="s">
        <v>12</v>
      </c>
      <c r="D60" s="233">
        <f>((1400/4*0.1+2.8))</f>
        <v>37.799999999999997</v>
      </c>
      <c r="E60" s="233">
        <f t="shared" ref="E60:G60" si="2">((1400/4*0.1+2.8))</f>
        <v>37.799999999999997</v>
      </c>
      <c r="F60" s="233">
        <f t="shared" si="2"/>
        <v>37.799999999999997</v>
      </c>
      <c r="G60" s="233">
        <f t="shared" si="2"/>
        <v>37.799999999999997</v>
      </c>
      <c r="H60" s="81"/>
      <c r="I60" s="81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</row>
    <row r="61" spans="1:26" s="19" customFormat="1" x14ac:dyDescent="0.2">
      <c r="A61" s="81"/>
      <c r="B61" s="131" t="s">
        <v>105</v>
      </c>
      <c r="C61" s="118" t="s">
        <v>12</v>
      </c>
      <c r="D61" s="232">
        <f>23+5</f>
        <v>28</v>
      </c>
      <c r="E61" s="233">
        <f>20+5</f>
        <v>25</v>
      </c>
      <c r="F61" s="233">
        <f>13+5</f>
        <v>18</v>
      </c>
      <c r="G61" s="234">
        <f>16+5</f>
        <v>21</v>
      </c>
      <c r="H61" s="81"/>
      <c r="I61" s="81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</row>
    <row r="62" spans="1:26" s="19" customFormat="1" x14ac:dyDescent="0.2">
      <c r="A62" s="81"/>
      <c r="B62" s="117" t="s">
        <v>54</v>
      </c>
      <c r="C62" s="118" t="s">
        <v>12</v>
      </c>
      <c r="D62" s="233">
        <f>D59+D60+D61</f>
        <v>407.8</v>
      </c>
      <c r="E62" s="233">
        <f>E59+E60+E61</f>
        <v>347.8</v>
      </c>
      <c r="F62" s="233">
        <f>F59+F60+F61</f>
        <v>255.3</v>
      </c>
      <c r="G62" s="234">
        <f>G59+G60+G61</f>
        <v>286.8</v>
      </c>
      <c r="H62" s="81"/>
      <c r="I62" s="81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</row>
    <row r="63" spans="1:26" s="19" customFormat="1" x14ac:dyDescent="0.2">
      <c r="A63" s="81"/>
      <c r="B63" s="132" t="s">
        <v>55</v>
      </c>
      <c r="C63" s="133" t="s">
        <v>12</v>
      </c>
      <c r="D63" s="134">
        <v>150</v>
      </c>
      <c r="E63" s="134">
        <v>150</v>
      </c>
      <c r="F63" s="134">
        <v>150</v>
      </c>
      <c r="G63" s="134">
        <v>150</v>
      </c>
      <c r="H63" s="81"/>
      <c r="I63" s="81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</row>
    <row r="64" spans="1:26" s="19" customFormat="1" x14ac:dyDescent="0.2">
      <c r="A64" s="81"/>
      <c r="B64" s="240"/>
      <c r="C64" s="241"/>
      <c r="D64" s="242"/>
      <c r="E64" s="242"/>
      <c r="F64" s="242"/>
      <c r="G64" s="243"/>
      <c r="H64" s="81"/>
      <c r="I64" s="81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</row>
    <row r="65" spans="1:28" s="19" customFormat="1" ht="24" customHeight="1" x14ac:dyDescent="0.2">
      <c r="A65" s="81"/>
      <c r="B65" s="312" t="s">
        <v>56</v>
      </c>
      <c r="C65" s="339" t="s">
        <v>12</v>
      </c>
      <c r="D65" s="306">
        <f>(D48+D51+D52+D56+D62+D63)</f>
        <v>2283.1126923076927</v>
      </c>
      <c r="E65" s="307">
        <f>(E48+E51+E52+E56+E62+E63)</f>
        <v>2252.5465384615386</v>
      </c>
      <c r="F65" s="307">
        <f>(F48+F51+F52+F56+F62+F63)</f>
        <v>2006.3073076923076</v>
      </c>
      <c r="G65" s="308">
        <f>(G48+G51+G52+G56+G62+G63)</f>
        <v>2167.5626923076925</v>
      </c>
      <c r="H65" s="81"/>
      <c r="I65" s="81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</row>
    <row r="66" spans="1:28" s="19" customFormat="1" ht="24" customHeight="1" x14ac:dyDescent="0.2">
      <c r="A66" s="81"/>
      <c r="B66" s="313" t="s">
        <v>141</v>
      </c>
      <c r="C66" s="338" t="s">
        <v>113</v>
      </c>
      <c r="D66" s="309">
        <f>ROUND(D65/D15,1)</f>
        <v>6</v>
      </c>
      <c r="E66" s="310">
        <f>ROUND(E65/E15,1)</f>
        <v>5.7</v>
      </c>
      <c r="F66" s="310">
        <f>ROUND(F65/F15,1)</f>
        <v>6.5</v>
      </c>
      <c r="G66" s="311">
        <f>ROUND(G65/G15,1)</f>
        <v>5.7</v>
      </c>
      <c r="H66" s="81"/>
      <c r="I66" s="81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</row>
    <row r="67" spans="1:28" s="19" customFormat="1" hidden="1" x14ac:dyDescent="0.2">
      <c r="A67" s="81"/>
      <c r="B67" s="7" t="s">
        <v>57</v>
      </c>
      <c r="C67" s="8" t="s">
        <v>12</v>
      </c>
      <c r="D67" s="20">
        <f>((D25+D30+D34+D46)*6%)/12*6</f>
        <v>23.224753846153845</v>
      </c>
      <c r="E67" s="21">
        <f>((E25+E30+E34+E46)*6%)/12*6</f>
        <v>23.904230769230772</v>
      </c>
      <c r="F67" s="20">
        <f>((F25+F30+F34+F46)*6%)/12*6</f>
        <v>20.668846153846157</v>
      </c>
      <c r="G67" s="21">
        <f>((G25+G30+G34+G46)*6%)/12*6</f>
        <v>23.023753846153848</v>
      </c>
      <c r="H67" s="81"/>
      <c r="I67" s="81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</row>
    <row r="68" spans="1:28" hidden="1" x14ac:dyDescent="0.2">
      <c r="A68" s="81"/>
      <c r="B68" s="7" t="s">
        <v>58</v>
      </c>
      <c r="C68" s="8" t="s">
        <v>12</v>
      </c>
      <c r="D68" s="12">
        <f>(D55/2)*6%</f>
        <v>83.056153846153848</v>
      </c>
      <c r="E68" s="13">
        <f>(E55/2)*6%</f>
        <v>86.919230769230765</v>
      </c>
      <c r="F68" s="12">
        <f>(F55/2)*6%</f>
        <v>67.603846153846135</v>
      </c>
      <c r="G68" s="13">
        <f>(G55/2)*6%</f>
        <v>83.056153846153848</v>
      </c>
      <c r="J68" s="315"/>
      <c r="K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</row>
    <row r="69" spans="1:28" ht="18" hidden="1" customHeight="1" x14ac:dyDescent="0.2">
      <c r="A69" s="81"/>
      <c r="B69" s="22" t="s">
        <v>59</v>
      </c>
      <c r="C69" s="23" t="s">
        <v>12</v>
      </c>
      <c r="D69" s="24">
        <f>D65+D67+D68</f>
        <v>2389.3936000000003</v>
      </c>
      <c r="E69" s="25">
        <f>E65+E67+E68</f>
        <v>2363.37</v>
      </c>
      <c r="F69" s="24">
        <f>F65+F67+F68</f>
        <v>2094.58</v>
      </c>
      <c r="G69" s="26">
        <f>G65+G67+G68</f>
        <v>2273.6426000000001</v>
      </c>
      <c r="J69" s="315"/>
      <c r="K69" s="315"/>
      <c r="O69" s="368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</row>
    <row r="70" spans="1:28" ht="18" hidden="1" customHeight="1" x14ac:dyDescent="0.2">
      <c r="A70" s="81"/>
      <c r="B70" s="28"/>
      <c r="C70" s="29"/>
      <c r="D70" s="30"/>
      <c r="E70" s="31"/>
      <c r="F70" s="30"/>
      <c r="G70" s="31"/>
      <c r="J70" s="315"/>
      <c r="K70" s="315"/>
      <c r="O70" s="368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</row>
    <row r="71" spans="1:28" ht="18" hidden="1" customHeight="1" x14ac:dyDescent="0.2">
      <c r="A71" s="81"/>
      <c r="B71" s="63" t="s">
        <v>172</v>
      </c>
      <c r="C71" s="342" t="s">
        <v>175</v>
      </c>
      <c r="D71" s="344">
        <v>1105</v>
      </c>
      <c r="E71" s="344">
        <v>1105</v>
      </c>
      <c r="F71" s="344">
        <v>1105</v>
      </c>
      <c r="G71" s="344">
        <v>1105</v>
      </c>
      <c r="J71" s="315"/>
      <c r="K71" s="315"/>
      <c r="O71" s="368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</row>
    <row r="72" spans="1:28" ht="18" hidden="1" customHeight="1" x14ac:dyDescent="0.2">
      <c r="A72" s="81"/>
      <c r="B72" s="63" t="s">
        <v>172</v>
      </c>
      <c r="C72" s="342" t="s">
        <v>176</v>
      </c>
      <c r="D72" s="344">
        <f>D71*D16</f>
        <v>133954.288</v>
      </c>
      <c r="E72" s="344">
        <f>E71*E16</f>
        <v>140025.60000000001</v>
      </c>
      <c r="F72" s="344">
        <f>F71*F16</f>
        <v>108908.8</v>
      </c>
      <c r="G72" s="344">
        <f>G71*G16</f>
        <v>133954.288</v>
      </c>
      <c r="J72" s="315"/>
      <c r="K72" s="315"/>
      <c r="O72" s="368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</row>
    <row r="73" spans="1:28" ht="18" hidden="1" customHeight="1" x14ac:dyDescent="0.2">
      <c r="A73" s="81"/>
      <c r="B73" s="63" t="s">
        <v>173</v>
      </c>
      <c r="C73" s="342" t="s">
        <v>174</v>
      </c>
      <c r="D73" s="343">
        <f>D65/D72</f>
        <v>1.7043968703022726E-2</v>
      </c>
      <c r="E73" s="343">
        <f>E65/E72</f>
        <v>1.6086676568152814E-2</v>
      </c>
      <c r="F73" s="343">
        <f>F65/F72</f>
        <v>1.8421902616614153E-2</v>
      </c>
      <c r="G73" s="343">
        <f>G65/G72</f>
        <v>1.6181361005089233E-2</v>
      </c>
      <c r="J73" s="315"/>
      <c r="K73" s="315"/>
      <c r="O73" s="368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</row>
    <row r="74" spans="1:28" ht="24.75" hidden="1" customHeight="1" x14ac:dyDescent="0.2">
      <c r="A74" s="81"/>
      <c r="B74" s="28"/>
      <c r="C74" s="29"/>
      <c r="D74" s="30"/>
      <c r="E74" s="31"/>
      <c r="F74" s="30"/>
      <c r="G74" s="31"/>
      <c r="J74" s="315"/>
      <c r="K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</row>
    <row r="75" spans="1:28" ht="18" hidden="1" customHeight="1" x14ac:dyDescent="0.2">
      <c r="A75" s="81"/>
      <c r="B75" s="32" t="s">
        <v>60</v>
      </c>
      <c r="C75" s="8" t="s">
        <v>61</v>
      </c>
      <c r="D75" s="33">
        <f>D69/D15</f>
        <v>6.307297732492148</v>
      </c>
      <c r="E75" s="34">
        <f>E69/E15</f>
        <v>5.9681060606060603</v>
      </c>
      <c r="F75" s="33">
        <f>F69/F15</f>
        <v>6.8005844155844155</v>
      </c>
      <c r="G75" s="34">
        <f>G69/G15</f>
        <v>6.0017490695034716</v>
      </c>
      <c r="J75" s="315"/>
      <c r="K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19"/>
      <c r="AB75" s="19"/>
    </row>
    <row r="76" spans="1:28" hidden="1" x14ac:dyDescent="0.2">
      <c r="A76" s="81"/>
      <c r="B76" s="7"/>
      <c r="C76" s="8"/>
      <c r="D76" s="12"/>
      <c r="E76" s="35"/>
      <c r="J76" s="315"/>
      <c r="K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19"/>
      <c r="AB76" s="19"/>
    </row>
    <row r="77" spans="1:28" hidden="1" x14ac:dyDescent="0.2">
      <c r="A77" s="81"/>
      <c r="B77" s="7" t="s">
        <v>62</v>
      </c>
      <c r="C77" s="8" t="s">
        <v>5</v>
      </c>
      <c r="D77" s="36">
        <v>10</v>
      </c>
      <c r="E77" s="37">
        <v>10</v>
      </c>
      <c r="F77" s="36">
        <v>10</v>
      </c>
      <c r="G77" s="37">
        <v>10</v>
      </c>
      <c r="J77" s="315"/>
      <c r="K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19"/>
      <c r="AB77" s="19"/>
    </row>
    <row r="78" spans="1:28" hidden="1" x14ac:dyDescent="0.2">
      <c r="A78" s="81"/>
      <c r="B78" s="38" t="s">
        <v>63</v>
      </c>
      <c r="C78" s="8" t="s">
        <v>61</v>
      </c>
      <c r="D78" s="39">
        <f>(D69*1.1)/D15</f>
        <v>6.9380275057413634</v>
      </c>
      <c r="E78" s="40">
        <f>(E69*1.1)/E15</f>
        <v>6.5649166666666661</v>
      </c>
      <c r="F78" s="39">
        <f>(F69*1.1)/F15</f>
        <v>7.4806428571428576</v>
      </c>
      <c r="G78" s="40">
        <f>(G69*1.1)/G15</f>
        <v>6.6019239764538193</v>
      </c>
      <c r="J78" s="315"/>
      <c r="K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19"/>
      <c r="AB78" s="19"/>
    </row>
    <row r="79" spans="1:28" hidden="1" x14ac:dyDescent="0.2">
      <c r="A79" s="81"/>
      <c r="B79" s="41"/>
      <c r="C79" s="8" t="s">
        <v>64</v>
      </c>
      <c r="D79" s="14">
        <f>(D65+(D65*D77%))/D16</f>
        <v>20.716943958524123</v>
      </c>
      <c r="E79" s="15">
        <f>(E65+(E65*E77%))/E16</f>
        <v>19.553355368589745</v>
      </c>
      <c r="F79" s="14">
        <f>(F65+(F65*F77%))/F16</f>
        <v>22.391822630494502</v>
      </c>
      <c r="G79" s="15">
        <f>(G65+(G65*G77%))/G16</f>
        <v>19.668444301685962</v>
      </c>
      <c r="J79" s="315"/>
      <c r="K79" s="315"/>
      <c r="O79" s="315"/>
      <c r="P79" s="369"/>
      <c r="Q79" s="370"/>
      <c r="R79" s="371"/>
      <c r="S79" s="372"/>
      <c r="T79" s="371"/>
      <c r="U79" s="372"/>
      <c r="V79" s="315"/>
      <c r="W79" s="315"/>
      <c r="X79" s="315"/>
      <c r="Y79" s="315"/>
      <c r="Z79" s="315"/>
      <c r="AA79" s="19"/>
      <c r="AB79" s="19"/>
    </row>
    <row r="80" spans="1:28" hidden="1" x14ac:dyDescent="0.2">
      <c r="A80" s="81"/>
      <c r="B80" s="42" t="s">
        <v>65</v>
      </c>
      <c r="C80" s="8"/>
      <c r="D80" s="14"/>
      <c r="J80" s="315"/>
      <c r="K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</row>
    <row r="81" spans="1:26" hidden="1" x14ac:dyDescent="0.2">
      <c r="A81" s="81"/>
      <c r="B81" s="43" t="s">
        <v>66</v>
      </c>
      <c r="C81" s="44" t="s">
        <v>12</v>
      </c>
      <c r="D81" s="45">
        <v>517</v>
      </c>
      <c r="E81" s="46">
        <v>421</v>
      </c>
      <c r="F81" s="46">
        <v>385</v>
      </c>
      <c r="G81" s="46">
        <v>454</v>
      </c>
      <c r="J81" s="315"/>
      <c r="K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</row>
    <row r="82" spans="1:26" hidden="1" x14ac:dyDescent="0.2">
      <c r="A82" s="81"/>
      <c r="B82" s="38" t="s">
        <v>67</v>
      </c>
      <c r="C82" s="8" t="s">
        <v>61</v>
      </c>
      <c r="D82" s="39">
        <f>(D69+D81)/D15</f>
        <v>7.6720259747116133</v>
      </c>
      <c r="E82" s="40">
        <f>(E69+E81)/E15</f>
        <v>7.0312373737373735</v>
      </c>
      <c r="F82" s="39">
        <f>(F69+F81)/F15</f>
        <v>8.0505844155844155</v>
      </c>
      <c r="G82" s="40">
        <f>(G69+G81)/G15</f>
        <v>7.2001758044505459</v>
      </c>
      <c r="J82" s="315"/>
      <c r="K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</row>
    <row r="83" spans="1:26" hidden="1" x14ac:dyDescent="0.2">
      <c r="A83" s="81"/>
      <c r="B83" s="7"/>
      <c r="C83" s="8" t="s">
        <v>64</v>
      </c>
      <c r="D83" s="47">
        <f>(D65+D81)/D16</f>
        <v>23.098361173775942</v>
      </c>
      <c r="E83" s="48">
        <f>(E65+E81)/E16</f>
        <v>21.098062961344212</v>
      </c>
      <c r="F83" s="47">
        <f>(F65+F81)/F16</f>
        <v>24.262452391358639</v>
      </c>
      <c r="G83" s="48">
        <f>(G65+G81)/G16</f>
        <v>21.625487457333207</v>
      </c>
      <c r="J83" s="315"/>
      <c r="K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</row>
    <row r="84" spans="1:26" hidden="1" x14ac:dyDescent="0.2">
      <c r="A84" s="81"/>
      <c r="B84" s="7"/>
      <c r="C84" s="49"/>
      <c r="D84" s="3"/>
      <c r="J84" s="315"/>
      <c r="K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</row>
    <row r="85" spans="1:26" hidden="1" x14ac:dyDescent="0.2">
      <c r="A85" s="81"/>
      <c r="B85" s="50" t="s">
        <v>68</v>
      </c>
      <c r="C85" s="51"/>
      <c r="D85" s="52"/>
      <c r="J85" s="315"/>
      <c r="K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</row>
    <row r="86" spans="1:26" hidden="1" x14ac:dyDescent="0.2">
      <c r="A86" s="81"/>
      <c r="B86" s="7" t="s">
        <v>69</v>
      </c>
      <c r="C86" s="8" t="s">
        <v>70</v>
      </c>
      <c r="D86" s="14">
        <v>5.9</v>
      </c>
      <c r="E86" s="15">
        <v>5.9</v>
      </c>
      <c r="F86" s="14">
        <v>5.7</v>
      </c>
      <c r="G86" s="14">
        <v>5.9</v>
      </c>
      <c r="J86" s="315"/>
      <c r="K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</row>
    <row r="87" spans="1:26" hidden="1" x14ac:dyDescent="0.2">
      <c r="A87" s="81"/>
      <c r="B87" s="7" t="s">
        <v>71</v>
      </c>
      <c r="C87" s="8" t="s">
        <v>70</v>
      </c>
      <c r="D87" s="14">
        <f>D86*0.5</f>
        <v>2.95</v>
      </c>
      <c r="E87" s="15">
        <f>E86*0.5</f>
        <v>2.95</v>
      </c>
      <c r="F87" s="14">
        <f>F86*0.5</f>
        <v>2.85</v>
      </c>
      <c r="G87" s="15">
        <f>G86*0.5</f>
        <v>2.95</v>
      </c>
      <c r="J87" s="315"/>
      <c r="K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</row>
    <row r="88" spans="1:26" hidden="1" x14ac:dyDescent="0.2">
      <c r="A88" s="81"/>
      <c r="B88" s="7" t="s">
        <v>72</v>
      </c>
      <c r="C88" s="8" t="s">
        <v>5</v>
      </c>
      <c r="D88" s="12"/>
      <c r="E88" s="13"/>
      <c r="F88" s="12"/>
      <c r="G88" s="13"/>
      <c r="J88" s="315"/>
      <c r="K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</row>
    <row r="89" spans="1:26" hidden="1" x14ac:dyDescent="0.2">
      <c r="A89" s="81"/>
      <c r="B89" s="7" t="s">
        <v>73</v>
      </c>
      <c r="C89" s="8" t="s">
        <v>70</v>
      </c>
      <c r="D89" s="14">
        <v>0</v>
      </c>
      <c r="E89" s="53">
        <v>0</v>
      </c>
      <c r="F89" s="14">
        <v>0</v>
      </c>
      <c r="G89" s="53"/>
      <c r="J89" s="315"/>
      <c r="K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</row>
    <row r="90" spans="1:26" hidden="1" x14ac:dyDescent="0.2">
      <c r="A90" s="81"/>
      <c r="B90" s="10" t="s">
        <v>74</v>
      </c>
      <c r="C90" s="8" t="s">
        <v>70</v>
      </c>
      <c r="D90" s="54">
        <f>((D86+D87)+(D86+D87)*D88%)+D89</f>
        <v>8.8500000000000014</v>
      </c>
      <c r="E90" s="55">
        <f>((E86+E87)+(E86+E87)*E88%)+E89</f>
        <v>8.8500000000000014</v>
      </c>
      <c r="F90" s="54">
        <f>((F86+F87)+(F86+F87)*F88%)+F89</f>
        <v>8.5500000000000007</v>
      </c>
      <c r="G90" s="55">
        <f>((G86+G87)+(G86+G87)*G88%)+G89</f>
        <v>8.8500000000000014</v>
      </c>
      <c r="J90" s="315"/>
      <c r="K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</row>
    <row r="91" spans="1:26" hidden="1" x14ac:dyDescent="0.2">
      <c r="A91" s="81"/>
      <c r="B91" s="7" t="s">
        <v>75</v>
      </c>
      <c r="C91" s="8" t="s">
        <v>70</v>
      </c>
      <c r="D91" s="9">
        <v>3</v>
      </c>
      <c r="E91" s="9">
        <v>3</v>
      </c>
      <c r="F91" s="9">
        <v>3</v>
      </c>
      <c r="G91" s="9">
        <v>3</v>
      </c>
      <c r="J91" s="315"/>
      <c r="K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</row>
    <row r="92" spans="1:26" hidden="1" x14ac:dyDescent="0.2">
      <c r="A92" s="81"/>
      <c r="B92" s="10" t="s">
        <v>76</v>
      </c>
      <c r="C92" s="56"/>
      <c r="D92" s="54">
        <f>SUM(D90:D91)</f>
        <v>11.850000000000001</v>
      </c>
      <c r="E92" s="55">
        <f>SUM(E90:E91)</f>
        <v>11.850000000000001</v>
      </c>
      <c r="F92" s="54">
        <f>SUM(F90:F91)</f>
        <v>11.55</v>
      </c>
      <c r="G92" s="55">
        <f>SUM(G90:G91)</f>
        <v>11.850000000000001</v>
      </c>
      <c r="J92" s="315"/>
      <c r="K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</row>
    <row r="93" spans="1:26" hidden="1" x14ac:dyDescent="0.2">
      <c r="A93" s="81"/>
      <c r="B93" s="57"/>
      <c r="C93" s="58"/>
      <c r="D93" s="59"/>
      <c r="J93" s="315"/>
      <c r="K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</row>
    <row r="94" spans="1:26" hidden="1" x14ac:dyDescent="0.2">
      <c r="A94" s="81"/>
      <c r="B94" s="11"/>
      <c r="C94" s="60"/>
      <c r="D94" s="61"/>
      <c r="J94" s="315"/>
      <c r="K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</row>
    <row r="95" spans="1:26" hidden="1" x14ac:dyDescent="0.2">
      <c r="A95" s="81"/>
      <c r="B95" s="62" t="s">
        <v>77</v>
      </c>
      <c r="C95" s="60"/>
      <c r="D95" s="61"/>
      <c r="J95" s="315"/>
      <c r="K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</row>
    <row r="96" spans="1:26" hidden="1" x14ac:dyDescent="0.2">
      <c r="A96" s="81"/>
      <c r="B96" s="63" t="s">
        <v>78</v>
      </c>
      <c r="C96" s="29" t="s">
        <v>12</v>
      </c>
      <c r="D96" s="61">
        <v>23.91</v>
      </c>
      <c r="E96" s="64">
        <v>23.91</v>
      </c>
      <c r="F96" s="61">
        <v>23.91</v>
      </c>
      <c r="G96" s="64">
        <v>23.91</v>
      </c>
      <c r="H96" s="81" t="s">
        <v>79</v>
      </c>
      <c r="J96" s="315"/>
      <c r="K96" s="318">
        <f>(G54-(G54*5%))*0.5</f>
        <v>29.223461538461542</v>
      </c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</row>
    <row r="97" spans="1:26" hidden="1" x14ac:dyDescent="0.2">
      <c r="A97" s="81"/>
      <c r="B97" s="63" t="s">
        <v>80</v>
      </c>
      <c r="C97" s="29" t="s">
        <v>12</v>
      </c>
      <c r="D97" s="61">
        <v>34.229999999999997</v>
      </c>
      <c r="E97" s="64">
        <v>34.229999999999997</v>
      </c>
      <c r="F97" s="61">
        <v>34.229999999999997</v>
      </c>
      <c r="G97" s="64">
        <v>34.229999999999997</v>
      </c>
      <c r="H97" s="81" t="s">
        <v>81</v>
      </c>
      <c r="J97" s="315"/>
      <c r="K97" s="318">
        <f>(G54-(G54*5%))*0.5*0.2</f>
        <v>5.8446923076923092</v>
      </c>
      <c r="L97" s="315">
        <v>0.2</v>
      </c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</row>
    <row r="98" spans="1:26" hidden="1" x14ac:dyDescent="0.2">
      <c r="A98" s="81"/>
      <c r="B98" s="65" t="s">
        <v>82</v>
      </c>
      <c r="C98" s="66" t="s">
        <v>83</v>
      </c>
      <c r="D98" s="67">
        <v>1.4</v>
      </c>
      <c r="E98" s="68">
        <v>1.4</v>
      </c>
      <c r="F98" s="67">
        <v>1.4</v>
      </c>
      <c r="G98" s="68">
        <v>1.4</v>
      </c>
      <c r="H98" s="81" t="s">
        <v>84</v>
      </c>
      <c r="J98" s="315"/>
      <c r="K98" s="315">
        <f>1.5*2*11</f>
        <v>33</v>
      </c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</row>
    <row r="99" spans="1:26" ht="13.5" hidden="1" thickBot="1" x14ac:dyDescent="0.25">
      <c r="A99" s="81"/>
      <c r="B99" s="22" t="s">
        <v>85</v>
      </c>
      <c r="C99" s="23" t="s">
        <v>12</v>
      </c>
      <c r="D99" s="69">
        <f>D69+D96+D97+(D98*11)</f>
        <v>2462.9336000000003</v>
      </c>
      <c r="E99" s="70">
        <f>E69+E96+E97+(E98*11)</f>
        <v>2436.91</v>
      </c>
      <c r="F99" s="69">
        <f>F69+F96+F97+(F98*11)</f>
        <v>2168.12</v>
      </c>
      <c r="G99" s="71">
        <f>G69+G96+G97+(G98*11)</f>
        <v>2347.1826000000001</v>
      </c>
      <c r="J99" s="315"/>
      <c r="K99" s="319">
        <f>SUM(K96:K98)</f>
        <v>68.068153846153848</v>
      </c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</row>
    <row r="100" spans="1:26" ht="13.5" hidden="1" thickTop="1" x14ac:dyDescent="0.2">
      <c r="A100" s="81"/>
      <c r="H100" s="81" t="s">
        <v>86</v>
      </c>
      <c r="I100" s="81" t="s">
        <v>87</v>
      </c>
      <c r="J100" s="315"/>
      <c r="K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</row>
    <row r="101" spans="1:26" hidden="1" x14ac:dyDescent="0.2">
      <c r="A101" s="81"/>
      <c r="B101" s="27" t="s">
        <v>88</v>
      </c>
      <c r="C101" s="8" t="s">
        <v>61</v>
      </c>
      <c r="D101" s="33">
        <f>D99/D15</f>
        <v>6.5014217459018564</v>
      </c>
      <c r="E101" s="34">
        <f>E99/E15</f>
        <v>6.1538131313131306</v>
      </c>
      <c r="F101" s="33">
        <f>F99/F15</f>
        <v>7.0393506493506486</v>
      </c>
      <c r="G101" s="34">
        <f>G99/G15</f>
        <v>6.195873082913181</v>
      </c>
      <c r="H101" s="195" t="e">
        <f>#REF!*G15*0.045</f>
        <v>#REF!</v>
      </c>
      <c r="J101" s="315"/>
      <c r="K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</row>
    <row r="102" spans="1:26" hidden="1" x14ac:dyDescent="0.2">
      <c r="A102" s="81"/>
      <c r="B102" s="27"/>
      <c r="C102" s="8" t="s">
        <v>64</v>
      </c>
      <c r="D102" s="47">
        <f>D99/D16</f>
        <v>20.316942955943301</v>
      </c>
      <c r="E102" s="48">
        <f>E99/E16</f>
        <v>19.230666035353533</v>
      </c>
      <c r="F102" s="47">
        <f>F99/F16</f>
        <v>21.997970779220779</v>
      </c>
      <c r="G102" s="48">
        <f>G99/G16</f>
        <v>19.362103384103687</v>
      </c>
      <c r="H102" s="81" t="e">
        <f>H101/G15</f>
        <v>#REF!</v>
      </c>
      <c r="J102" s="315"/>
      <c r="K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</row>
    <row r="103" spans="1:26" hidden="1" x14ac:dyDescent="0.2">
      <c r="A103" s="81"/>
      <c r="B103" s="41"/>
      <c r="C103" s="72"/>
      <c r="D103" s="9"/>
      <c r="H103" s="196" t="e">
        <f>G101+H102</f>
        <v>#REF!</v>
      </c>
      <c r="J103" s="315"/>
      <c r="K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</row>
    <row r="104" spans="1:26" hidden="1" x14ac:dyDescent="0.2">
      <c r="A104" s="81"/>
      <c r="B104" s="7" t="s">
        <v>62</v>
      </c>
      <c r="C104" s="8" t="s">
        <v>5</v>
      </c>
      <c r="D104" s="36">
        <v>10</v>
      </c>
      <c r="E104" s="37">
        <v>10</v>
      </c>
      <c r="F104" s="36">
        <v>10</v>
      </c>
      <c r="G104" s="37">
        <v>10</v>
      </c>
      <c r="H104" s="81" t="s">
        <v>89</v>
      </c>
      <c r="J104" s="315"/>
      <c r="K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</row>
    <row r="105" spans="1:26" hidden="1" x14ac:dyDescent="0.2">
      <c r="A105" s="81"/>
      <c r="B105" s="38" t="s">
        <v>90</v>
      </c>
      <c r="C105" s="8" t="s">
        <v>61</v>
      </c>
      <c r="D105" s="39">
        <f>(D99*1.1)/D15</f>
        <v>7.1515639204920429</v>
      </c>
      <c r="E105" s="40">
        <f>(E99*1.1)/E15</f>
        <v>6.7691944444444445</v>
      </c>
      <c r="F105" s="39">
        <f>(F99*1.1)/F15</f>
        <v>7.7432857142857152</v>
      </c>
      <c r="G105" s="40">
        <f>(G99*1.1)/G15</f>
        <v>6.8154603912044989</v>
      </c>
      <c r="H105" s="197">
        <f>G15*0.04</f>
        <v>15.1532</v>
      </c>
      <c r="J105" s="315"/>
      <c r="K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</row>
    <row r="106" spans="1:26" hidden="1" x14ac:dyDescent="0.2">
      <c r="A106" s="81"/>
      <c r="B106" s="41"/>
      <c r="C106" s="8" t="s">
        <v>64</v>
      </c>
      <c r="D106" s="14">
        <f>(D99+(D99*D104%))/D16</f>
        <v>22.348637251537632</v>
      </c>
      <c r="E106" s="15">
        <f>(E99+(E99*E104%))/E16</f>
        <v>21.153732638888886</v>
      </c>
      <c r="F106" s="14">
        <f>(F99+(F99*F104%))/F16</f>
        <v>24.197767857142853</v>
      </c>
      <c r="G106" s="15">
        <f>(G99+(G99*G104%))/G16</f>
        <v>21.29831372251406</v>
      </c>
      <c r="J106" s="315"/>
      <c r="K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</row>
    <row r="107" spans="1:26" hidden="1" x14ac:dyDescent="0.2">
      <c r="A107" s="81"/>
      <c r="B107" s="73" t="s">
        <v>65</v>
      </c>
      <c r="C107" s="8"/>
      <c r="D107" s="14"/>
      <c r="J107" s="315"/>
      <c r="K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</row>
    <row r="108" spans="1:26" hidden="1" x14ac:dyDescent="0.2">
      <c r="A108" s="81"/>
      <c r="B108" s="74" t="s">
        <v>66</v>
      </c>
      <c r="C108" s="44" t="s">
        <v>12</v>
      </c>
      <c r="D108" s="45">
        <v>192</v>
      </c>
      <c r="E108" s="75">
        <v>151</v>
      </c>
      <c r="F108" s="45">
        <v>141</v>
      </c>
      <c r="G108" s="75">
        <v>114</v>
      </c>
      <c r="J108" s="315"/>
      <c r="K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</row>
    <row r="109" spans="1:26" hidden="1" x14ac:dyDescent="0.2">
      <c r="A109" s="81"/>
      <c r="B109" s="38" t="s">
        <v>91</v>
      </c>
      <c r="C109" s="8" t="s">
        <v>61</v>
      </c>
      <c r="D109" s="39">
        <f>(D99+D108)/D15</f>
        <v>7.0082453871129538</v>
      </c>
      <c r="E109" s="40">
        <f>(E99+E108)/E15</f>
        <v>6.5351262626262621</v>
      </c>
      <c r="F109" s="39">
        <f>(F99+F108)/F15</f>
        <v>7.4971428571428564</v>
      </c>
      <c r="G109" s="40">
        <f>(G99+G108)/G15</f>
        <v>6.4967996198822693</v>
      </c>
      <c r="J109" s="315"/>
      <c r="K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</row>
    <row r="110" spans="1:26" hidden="1" x14ac:dyDescent="0.2">
      <c r="A110" s="81"/>
      <c r="B110" s="7"/>
      <c r="C110" s="8" t="s">
        <v>64</v>
      </c>
      <c r="D110" s="47">
        <f>(D99+D108)/D16</f>
        <v>21.900766834727982</v>
      </c>
      <c r="E110" s="48">
        <f>(E99+E108)/E16</f>
        <v>20.422269570707069</v>
      </c>
      <c r="F110" s="47">
        <f>(F99+F108)/F16</f>
        <v>23.428571428571427</v>
      </c>
      <c r="G110" s="48">
        <f>(G99+G108)/G16</f>
        <v>20.302498812132093</v>
      </c>
      <c r="J110" s="315"/>
      <c r="K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</row>
    <row r="111" spans="1:26" hidden="1" x14ac:dyDescent="0.2">
      <c r="A111" s="81"/>
      <c r="C111"/>
      <c r="E111"/>
      <c r="F111" s="2"/>
      <c r="J111" s="315"/>
      <c r="K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</row>
    <row r="112" spans="1:26" hidden="1" x14ac:dyDescent="0.2">
      <c r="A112" s="81"/>
      <c r="C112"/>
      <c r="E112"/>
      <c r="F112" s="2"/>
      <c r="J112" s="315"/>
      <c r="K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</row>
    <row r="113" spans="1:26" hidden="1" x14ac:dyDescent="0.2">
      <c r="A113" s="81"/>
      <c r="C113"/>
      <c r="E113"/>
      <c r="F113" s="2"/>
      <c r="J113" s="315"/>
      <c r="K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</row>
    <row r="114" spans="1:26" x14ac:dyDescent="0.2">
      <c r="A114" s="81"/>
      <c r="C114"/>
      <c r="E114"/>
      <c r="F114" s="2"/>
      <c r="J114" s="315"/>
      <c r="K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</row>
    <row r="115" spans="1:26" x14ac:dyDescent="0.2">
      <c r="A115" s="81"/>
      <c r="B115" s="367" t="s">
        <v>182</v>
      </c>
      <c r="C115" s="382" t="s">
        <v>177</v>
      </c>
      <c r="D115" s="381"/>
      <c r="E115" s="81"/>
      <c r="F115" s="198"/>
      <c r="G115" s="81"/>
      <c r="J115" s="315"/>
      <c r="K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</row>
    <row r="116" spans="1:26" x14ac:dyDescent="0.2">
      <c r="A116" s="81"/>
      <c r="B116" s="326" t="s">
        <v>183</v>
      </c>
      <c r="C116" s="81"/>
      <c r="D116" s="198"/>
      <c r="E116" s="81"/>
      <c r="F116" s="198"/>
      <c r="G116" s="81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</row>
    <row r="117" spans="1:26" x14ac:dyDescent="0.2">
      <c r="A117" s="81"/>
      <c r="B117" s="81"/>
      <c r="C117" s="81"/>
      <c r="D117" s="198"/>
      <c r="E117" s="77"/>
      <c r="F117" s="267" t="s">
        <v>147</v>
      </c>
      <c r="G117" s="267" t="s">
        <v>148</v>
      </c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</row>
    <row r="118" spans="1:26" ht="12" customHeight="1" x14ac:dyDescent="0.2">
      <c r="A118" s="81"/>
      <c r="B118" s="81"/>
      <c r="C118" s="81"/>
      <c r="D118" s="198"/>
      <c r="E118" s="81"/>
      <c r="F118" s="198"/>
      <c r="G118" s="81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</row>
    <row r="119" spans="1:26" ht="21" customHeight="1" x14ac:dyDescent="0.2">
      <c r="A119" s="81"/>
      <c r="B119" s="81"/>
      <c r="C119" s="81"/>
      <c r="D119" s="198"/>
      <c r="E119" s="81"/>
      <c r="F119" s="198"/>
      <c r="G119" s="81"/>
      <c r="H119" s="19"/>
      <c r="J119" s="19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</row>
    <row r="120" spans="1:26" x14ac:dyDescent="0.2">
      <c r="A120" s="81"/>
      <c r="B120" s="81"/>
      <c r="C120" s="77"/>
      <c r="D120" s="198"/>
      <c r="E120" s="194"/>
      <c r="F120" s="199"/>
      <c r="G120" s="81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</row>
    <row r="121" spans="1:26" x14ac:dyDescent="0.2">
      <c r="A121" s="315"/>
      <c r="B121" s="81"/>
      <c r="C121" s="77"/>
      <c r="D121" s="198"/>
      <c r="E121" s="194"/>
      <c r="F121" s="199"/>
      <c r="G121" s="81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</row>
    <row r="122" spans="1:26" x14ac:dyDescent="0.2">
      <c r="A122" s="315"/>
      <c r="B122" s="81"/>
      <c r="C122" s="77"/>
      <c r="D122" s="198"/>
      <c r="E122" s="194"/>
      <c r="F122" s="199"/>
      <c r="G122" s="81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</row>
    <row r="123" spans="1:26" x14ac:dyDescent="0.2">
      <c r="A123" s="315"/>
      <c r="B123" s="81"/>
      <c r="C123" s="77"/>
      <c r="D123" s="198"/>
      <c r="E123" s="194"/>
      <c r="F123" s="199"/>
      <c r="G123" s="81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</row>
    <row r="124" spans="1:26" x14ac:dyDescent="0.2">
      <c r="A124" s="315"/>
      <c r="B124" s="81"/>
      <c r="C124" s="77"/>
      <c r="D124" s="198"/>
      <c r="E124" s="194"/>
      <c r="F124" s="199"/>
      <c r="G124" s="81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</row>
    <row r="125" spans="1:26" x14ac:dyDescent="0.2">
      <c r="A125" s="315"/>
      <c r="B125" s="81"/>
      <c r="C125" s="77"/>
      <c r="D125" s="198"/>
      <c r="E125" s="194"/>
      <c r="F125" s="199"/>
      <c r="G125" s="81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</row>
    <row r="126" spans="1:26" x14ac:dyDescent="0.2">
      <c r="A126" s="315"/>
      <c r="B126" s="81"/>
      <c r="C126" s="77"/>
      <c r="D126" s="198"/>
      <c r="E126" s="194"/>
      <c r="F126" s="199"/>
      <c r="G126" s="81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</row>
    <row r="127" spans="1:26" x14ac:dyDescent="0.2">
      <c r="A127" s="315"/>
      <c r="B127" s="81"/>
      <c r="C127" s="77"/>
      <c r="D127" s="198"/>
      <c r="E127" s="194"/>
      <c r="F127" s="199"/>
      <c r="G127" s="81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</row>
    <row r="128" spans="1:26" x14ac:dyDescent="0.2">
      <c r="A128" s="315"/>
      <c r="B128" s="81"/>
      <c r="C128" s="77"/>
      <c r="D128" s="198"/>
      <c r="E128" s="194"/>
      <c r="F128" s="199"/>
      <c r="G128" s="81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</row>
    <row r="129" spans="1:26" x14ac:dyDescent="0.2">
      <c r="A129" s="315"/>
      <c r="B129" s="81"/>
      <c r="C129" s="77"/>
      <c r="D129" s="198"/>
      <c r="E129" s="194"/>
      <c r="F129" s="199"/>
      <c r="G129" s="81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</row>
    <row r="130" spans="1:26" x14ac:dyDescent="0.2">
      <c r="A130" s="315"/>
      <c r="B130" s="81"/>
      <c r="C130" s="77"/>
      <c r="D130" s="198"/>
      <c r="E130" s="194"/>
      <c r="F130" s="199"/>
      <c r="G130" s="81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</row>
    <row r="131" spans="1:26" x14ac:dyDescent="0.2">
      <c r="A131" s="315"/>
      <c r="B131" s="81"/>
      <c r="C131" s="77"/>
      <c r="D131" s="198"/>
      <c r="E131" s="194"/>
      <c r="F131" s="199"/>
      <c r="G131" s="81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</row>
    <row r="132" spans="1:26" x14ac:dyDescent="0.2">
      <c r="A132" s="315"/>
      <c r="B132" s="81"/>
      <c r="C132" s="77"/>
      <c r="D132" s="198"/>
      <c r="E132" s="194"/>
      <c r="F132" s="199"/>
      <c r="G132" s="81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</row>
    <row r="133" spans="1:26" x14ac:dyDescent="0.2">
      <c r="A133" s="315"/>
      <c r="B133" s="81"/>
      <c r="C133" s="77"/>
      <c r="D133" s="198"/>
      <c r="E133" s="194"/>
      <c r="F133" s="199"/>
      <c r="G133" s="81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</row>
    <row r="134" spans="1:26" x14ac:dyDescent="0.2">
      <c r="A134" s="315"/>
      <c r="B134" s="81"/>
      <c r="C134" s="77"/>
      <c r="D134" s="198"/>
      <c r="E134" s="194"/>
      <c r="F134" s="199"/>
      <c r="G134" s="81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</row>
    <row r="135" spans="1:26" x14ac:dyDescent="0.2">
      <c r="A135" s="315"/>
      <c r="B135" s="81"/>
      <c r="C135" s="77"/>
      <c r="D135" s="198"/>
      <c r="E135" s="194"/>
      <c r="F135" s="199"/>
      <c r="G135" s="81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</row>
    <row r="136" spans="1:26" x14ac:dyDescent="0.2">
      <c r="A136" s="315"/>
      <c r="B136" s="81"/>
      <c r="C136" s="77"/>
      <c r="D136" s="198"/>
      <c r="E136" s="194"/>
      <c r="F136" s="199"/>
      <c r="G136" s="81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</row>
    <row r="137" spans="1:26" x14ac:dyDescent="0.2">
      <c r="A137" s="315"/>
      <c r="B137" s="81"/>
      <c r="C137" s="77"/>
      <c r="D137" s="198"/>
      <c r="E137" s="194"/>
      <c r="F137" s="199"/>
      <c r="G137" s="81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</row>
    <row r="138" spans="1:26" x14ac:dyDescent="0.2">
      <c r="A138" s="315"/>
      <c r="B138" s="81"/>
      <c r="C138" s="77"/>
      <c r="D138" s="198"/>
      <c r="E138" s="194"/>
      <c r="F138" s="199"/>
      <c r="G138" s="81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</row>
    <row r="139" spans="1:26" x14ac:dyDescent="0.2">
      <c r="A139" s="315"/>
      <c r="B139" s="81"/>
      <c r="C139" s="77"/>
      <c r="D139" s="198"/>
      <c r="E139" s="194"/>
      <c r="F139" s="199"/>
      <c r="G139" s="81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</row>
    <row r="140" spans="1:26" x14ac:dyDescent="0.2">
      <c r="A140" s="315"/>
      <c r="B140" s="81"/>
      <c r="C140" s="77"/>
      <c r="D140" s="198"/>
      <c r="E140" s="194"/>
      <c r="F140" s="199"/>
      <c r="G140" s="81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</row>
    <row r="141" spans="1:26" x14ac:dyDescent="0.2">
      <c r="A141" s="315"/>
      <c r="B141" s="81"/>
      <c r="C141" s="77"/>
      <c r="D141" s="198"/>
      <c r="E141" s="194"/>
      <c r="F141" s="199"/>
      <c r="G141" s="81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</row>
    <row r="142" spans="1:26" x14ac:dyDescent="0.2">
      <c r="A142" s="315"/>
      <c r="B142" s="81"/>
      <c r="C142" s="77"/>
      <c r="D142" s="198"/>
      <c r="E142" s="194"/>
      <c r="F142" s="199"/>
      <c r="G142" s="81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</row>
    <row r="143" spans="1:26" x14ac:dyDescent="0.2">
      <c r="A143" s="315"/>
      <c r="B143" s="81"/>
      <c r="C143" s="77"/>
      <c r="D143" s="198"/>
      <c r="E143" s="194"/>
      <c r="F143" s="199"/>
      <c r="G143" s="81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</row>
    <row r="144" spans="1:26" x14ac:dyDescent="0.2">
      <c r="A144" s="315"/>
      <c r="B144" s="81"/>
      <c r="C144" s="77"/>
      <c r="D144" s="198"/>
      <c r="E144" s="194"/>
      <c r="F144" s="199"/>
      <c r="G144" s="81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</row>
    <row r="145" spans="1:26" x14ac:dyDescent="0.2">
      <c r="A145" s="315"/>
      <c r="B145" s="81"/>
      <c r="C145" s="77"/>
      <c r="D145" s="198"/>
      <c r="E145" s="194"/>
      <c r="F145" s="199"/>
      <c r="G145" s="81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</row>
    <row r="146" spans="1:26" x14ac:dyDescent="0.2">
      <c r="A146" s="315"/>
      <c r="B146" s="81"/>
      <c r="C146" s="77"/>
      <c r="D146" s="198"/>
      <c r="E146" s="194"/>
      <c r="F146" s="199"/>
      <c r="G146" s="81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</row>
    <row r="147" spans="1:26" x14ac:dyDescent="0.2">
      <c r="B147" s="81"/>
      <c r="C147" s="77"/>
      <c r="D147" s="198"/>
      <c r="E147" s="194"/>
      <c r="F147" s="199"/>
      <c r="G147" s="81"/>
    </row>
    <row r="148" spans="1:26" x14ac:dyDescent="0.2">
      <c r="B148" s="81"/>
      <c r="C148" s="77"/>
      <c r="D148" s="198"/>
      <c r="E148" s="194"/>
      <c r="F148" s="199"/>
      <c r="G148" s="81"/>
    </row>
    <row r="149" spans="1:26" x14ac:dyDescent="0.2">
      <c r="B149" s="81"/>
      <c r="C149" s="77"/>
      <c r="D149" s="198"/>
      <c r="E149" s="194"/>
      <c r="F149" s="199"/>
      <c r="G149" s="81"/>
    </row>
    <row r="150" spans="1:26" x14ac:dyDescent="0.2">
      <c r="B150" s="81"/>
      <c r="C150" s="77"/>
      <c r="D150" s="198"/>
      <c r="E150" s="194"/>
      <c r="F150" s="199"/>
      <c r="G150" s="81"/>
    </row>
    <row r="151" spans="1:26" x14ac:dyDescent="0.2">
      <c r="B151" s="81"/>
      <c r="C151" s="77"/>
      <c r="D151" s="198"/>
      <c r="E151" s="194"/>
      <c r="F151" s="199"/>
      <c r="G151" s="81"/>
    </row>
    <row r="152" spans="1:26" x14ac:dyDescent="0.2">
      <c r="B152" s="81"/>
      <c r="C152" s="77"/>
      <c r="D152" s="198"/>
      <c r="E152" s="194"/>
      <c r="F152" s="199"/>
      <c r="G152" s="81"/>
    </row>
    <row r="153" spans="1:26" x14ac:dyDescent="0.2">
      <c r="B153" s="81"/>
      <c r="C153" s="77"/>
      <c r="D153" s="198"/>
      <c r="E153" s="194"/>
      <c r="F153" s="199"/>
      <c r="G153" s="81"/>
    </row>
    <row r="154" spans="1:26" x14ac:dyDescent="0.2">
      <c r="B154" s="81"/>
      <c r="C154" s="77"/>
      <c r="D154" s="198"/>
      <c r="E154" s="194"/>
      <c r="F154" s="199"/>
      <c r="G154" s="81"/>
    </row>
    <row r="155" spans="1:26" x14ac:dyDescent="0.2">
      <c r="B155" s="81"/>
      <c r="C155" s="77"/>
      <c r="D155" s="198"/>
      <c r="E155" s="194"/>
      <c r="F155" s="199"/>
      <c r="G155" s="81"/>
    </row>
    <row r="156" spans="1:26" x14ac:dyDescent="0.2">
      <c r="B156" s="81"/>
      <c r="C156" s="77"/>
      <c r="D156" s="198"/>
      <c r="E156" s="194"/>
      <c r="F156" s="199"/>
      <c r="G156" s="81"/>
    </row>
    <row r="157" spans="1:26" x14ac:dyDescent="0.2">
      <c r="B157" s="81"/>
      <c r="C157" s="77"/>
      <c r="D157" s="198"/>
      <c r="E157" s="194"/>
      <c r="F157" s="199"/>
      <c r="G157" s="81"/>
    </row>
    <row r="158" spans="1:26" x14ac:dyDescent="0.2">
      <c r="B158" s="81"/>
      <c r="C158" s="77"/>
      <c r="D158" s="198"/>
      <c r="E158" s="194"/>
      <c r="F158" s="199"/>
      <c r="G158" s="81"/>
    </row>
    <row r="159" spans="1:26" x14ac:dyDescent="0.2">
      <c r="B159" s="81"/>
      <c r="C159" s="77"/>
      <c r="D159" s="198"/>
      <c r="E159" s="194"/>
      <c r="F159" s="199"/>
      <c r="G159" s="81"/>
    </row>
    <row r="160" spans="1:26" x14ac:dyDescent="0.2">
      <c r="B160" s="81"/>
      <c r="C160" s="77"/>
      <c r="D160" s="198"/>
      <c r="E160" s="194"/>
      <c r="F160" s="199"/>
      <c r="G160" s="81"/>
    </row>
    <row r="161" spans="2:7" x14ac:dyDescent="0.2">
      <c r="B161" s="81"/>
      <c r="C161" s="77"/>
      <c r="D161" s="198"/>
      <c r="E161" s="194"/>
      <c r="F161" s="199"/>
      <c r="G161" s="81"/>
    </row>
    <row r="162" spans="2:7" x14ac:dyDescent="0.2">
      <c r="B162" s="81"/>
      <c r="C162" s="77"/>
      <c r="D162" s="198"/>
      <c r="E162" s="194"/>
      <c r="F162" s="199"/>
      <c r="G162" s="81"/>
    </row>
    <row r="163" spans="2:7" x14ac:dyDescent="0.2">
      <c r="B163" s="81"/>
      <c r="C163" s="77"/>
      <c r="D163" s="198"/>
      <c r="E163" s="194"/>
      <c r="F163" s="199"/>
      <c r="G163" s="81"/>
    </row>
    <row r="164" spans="2:7" x14ac:dyDescent="0.2">
      <c r="B164" s="81"/>
      <c r="C164" s="77"/>
      <c r="D164" s="198"/>
      <c r="E164" s="194"/>
      <c r="F164" s="199"/>
      <c r="G164" s="81"/>
    </row>
    <row r="165" spans="2:7" x14ac:dyDescent="0.2">
      <c r="B165" s="81"/>
      <c r="C165" s="77"/>
      <c r="D165" s="198"/>
      <c r="E165" s="194"/>
      <c r="F165" s="199"/>
      <c r="G165" s="81"/>
    </row>
    <row r="166" spans="2:7" x14ac:dyDescent="0.2">
      <c r="B166" s="81"/>
      <c r="C166" s="77"/>
      <c r="D166" s="198"/>
      <c r="E166" s="194"/>
      <c r="F166" s="199"/>
      <c r="G166" s="81"/>
    </row>
    <row r="167" spans="2:7" x14ac:dyDescent="0.2">
      <c r="B167" s="81"/>
      <c r="C167" s="77"/>
      <c r="D167" s="198"/>
      <c r="E167" s="194"/>
      <c r="F167" s="199"/>
      <c r="G167" s="81"/>
    </row>
    <row r="168" spans="2:7" x14ac:dyDescent="0.2">
      <c r="B168" s="81"/>
      <c r="C168" s="77"/>
      <c r="D168" s="198"/>
      <c r="E168" s="194"/>
      <c r="F168" s="199"/>
      <c r="G168" s="81"/>
    </row>
  </sheetData>
  <sheetProtection algorithmName="SHA-512" hashValue="R+FuE+mjgYgtCGer+aOnCHp7FZSGn5hcYXIrs43PkpSYAN+b7ioamoRYVOn+rEisSYFO3FNkp9AQpOvaMRhzrg==" saltValue="f8KjcaL5JLlOEfFy2YH0lA==" spinCount="100000" sheet="1" objects="1" scenarios="1"/>
  <phoneticPr fontId="3" type="noConversion"/>
  <hyperlinks>
    <hyperlink ref="F117" location="Start!A1" display="zurück"/>
    <hyperlink ref="G117" location="'Schema für betriebl Kalkulation'!A1" display="weiter"/>
    <hyperlink ref="C115" r:id="rId1"/>
  </hyperlinks>
  <printOptions horizontalCentered="1" verticalCentered="1"/>
  <pageMargins left="0.78740157480314965" right="0.15748031496062992" top="0.51181102362204722" bottom="0.65" header="0.51181102362204722" footer="0.44"/>
  <pageSetup paperSize="9" scale="72" orientation="portrait" r:id="rId2"/>
  <headerFooter alignWithMargins="0">
    <oddFooter>&amp;C&amp;8Sächsisches Landesamt für Umwelt, Landwirtschaft und Geologie, Abt. 2&amp;R&amp;8&amp;D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7"/>
    <pageSetUpPr fitToPage="1"/>
  </sheetPr>
  <dimension ref="A1:X533"/>
  <sheetViews>
    <sheetView zoomScaleNormal="100" workbookViewId="0">
      <pane xSplit="10" topLeftCell="K1" activePane="topRight" state="frozen"/>
      <selection activeCell="G68" sqref="G68"/>
      <selection pane="topRight" activeCell="C5" sqref="C5"/>
    </sheetView>
  </sheetViews>
  <sheetFormatPr baseColWidth="10" defaultColWidth="11.42578125" defaultRowHeight="12.75" x14ac:dyDescent="0.2"/>
  <cols>
    <col min="1" max="1" width="11.7109375" style="202" customWidth="1"/>
    <col min="2" max="2" width="42.5703125" style="141" customWidth="1"/>
    <col min="3" max="3" width="11.42578125" style="139"/>
    <col min="4" max="4" width="21.85546875" style="140" customWidth="1"/>
    <col min="5" max="5" width="27.5703125" style="139" customWidth="1"/>
    <col min="6" max="10" width="11.42578125" style="144"/>
    <col min="11" max="11" width="11.42578125" style="202"/>
    <col min="12" max="16384" width="11.42578125" style="141"/>
  </cols>
  <sheetData>
    <row r="1" spans="1:24" ht="6.75" customHeight="1" x14ac:dyDescent="0.2">
      <c r="F1" s="202"/>
      <c r="G1" s="202"/>
      <c r="H1" s="202"/>
      <c r="I1" s="202"/>
      <c r="J1" s="202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</row>
    <row r="2" spans="1:24" ht="15.75" x14ac:dyDescent="0.25">
      <c r="A2" s="191"/>
      <c r="B2" s="358" t="s">
        <v>145</v>
      </c>
      <c r="C2" s="167"/>
      <c r="D2" s="206"/>
      <c r="E2" s="167"/>
      <c r="F2" s="202"/>
      <c r="G2" s="202"/>
      <c r="H2" s="202"/>
      <c r="I2" s="202"/>
      <c r="J2" s="202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</row>
    <row r="3" spans="1:24" ht="6" customHeight="1" x14ac:dyDescent="0.25">
      <c r="A3" s="191"/>
      <c r="B3" s="205"/>
      <c r="C3" s="167"/>
      <c r="D3" s="206"/>
      <c r="E3" s="167"/>
      <c r="F3" s="202"/>
      <c r="G3" s="202"/>
      <c r="H3" s="202"/>
      <c r="I3" s="202"/>
      <c r="J3" s="202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</row>
    <row r="4" spans="1:24" ht="12.75" customHeight="1" x14ac:dyDescent="0.2">
      <c r="A4" s="191"/>
      <c r="B4" s="305" t="s">
        <v>115</v>
      </c>
      <c r="D4" s="206"/>
      <c r="F4" s="202"/>
      <c r="G4" s="202"/>
      <c r="H4" s="202"/>
      <c r="I4" s="202"/>
      <c r="J4" s="202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</row>
    <row r="5" spans="1:24" ht="21" customHeight="1" x14ac:dyDescent="0.25">
      <c r="A5" s="191"/>
      <c r="B5" s="247" t="s">
        <v>103</v>
      </c>
      <c r="C5" s="360"/>
      <c r="D5" s="221" t="str">
        <f>IF(C5=1,'Übersicht zu Vollkosten in SN'!D6,IF(C5=2,'Übersicht zu Vollkosten in SN'!E6,IF(C5=3,'Übersicht zu Vollkosten in SN'!F6,IF(C5=4,'Übersicht zu Vollkosten in SN'!G6," "))))</f>
        <v xml:space="preserve"> </v>
      </c>
      <c r="E5" s="167"/>
      <c r="F5" s="202"/>
      <c r="G5" s="202"/>
      <c r="H5" s="202"/>
      <c r="I5" s="202"/>
      <c r="J5" s="202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</row>
    <row r="6" spans="1:24" ht="7.5" customHeight="1" x14ac:dyDescent="0.2">
      <c r="A6" s="191"/>
      <c r="B6" s="191"/>
      <c r="C6" s="167"/>
      <c r="D6" s="206"/>
      <c r="E6" s="167"/>
      <c r="F6" s="202"/>
      <c r="G6" s="202"/>
      <c r="H6" s="202"/>
      <c r="I6" s="202"/>
      <c r="J6" s="202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</row>
    <row r="7" spans="1:24" x14ac:dyDescent="0.2">
      <c r="A7" s="191"/>
      <c r="B7" s="146" t="s">
        <v>0</v>
      </c>
      <c r="C7" s="147"/>
      <c r="D7" s="148" t="s">
        <v>143</v>
      </c>
      <c r="E7" s="359" t="s">
        <v>99</v>
      </c>
      <c r="F7" s="202"/>
      <c r="G7" s="202"/>
      <c r="H7" s="202"/>
      <c r="I7" s="202"/>
      <c r="J7" s="202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</row>
    <row r="8" spans="1:24" x14ac:dyDescent="0.2">
      <c r="A8" s="191"/>
      <c r="B8" s="248" t="s">
        <v>95</v>
      </c>
      <c r="C8" s="249" t="s">
        <v>2</v>
      </c>
      <c r="D8" s="211">
        <f>IF(C5=1,'Übersicht zu Vollkosten in SN'!D9,IF(C5=2,'Übersicht zu Vollkosten in SN'!E9,IF(C5=3,'Übersicht zu Vollkosten in SN'!F9,IF(C5=4,'Übersicht zu Vollkosten in SN'!G9,0))))</f>
        <v>0</v>
      </c>
      <c r="E8" s="162"/>
      <c r="F8" s="202"/>
      <c r="G8" s="202"/>
      <c r="H8" s="202"/>
      <c r="I8" s="202"/>
      <c r="J8" s="202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</row>
    <row r="9" spans="1:24" x14ac:dyDescent="0.2">
      <c r="A9" s="191"/>
      <c r="B9" s="250" t="s">
        <v>3</v>
      </c>
      <c r="C9" s="251" t="s">
        <v>2</v>
      </c>
      <c r="D9" s="256">
        <f>D8*D10%</f>
        <v>0</v>
      </c>
      <c r="E9" s="160"/>
      <c r="F9" s="202"/>
      <c r="G9" s="202"/>
      <c r="H9" s="202"/>
      <c r="I9" s="202"/>
      <c r="J9" s="202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</row>
    <row r="10" spans="1:24" x14ac:dyDescent="0.2">
      <c r="A10" s="191"/>
      <c r="B10" s="252" t="s">
        <v>4</v>
      </c>
      <c r="C10" s="251" t="s">
        <v>5</v>
      </c>
      <c r="D10" s="212">
        <f>IF(C5=0,0,35)</f>
        <v>0</v>
      </c>
      <c r="E10" s="160"/>
      <c r="F10" s="202"/>
      <c r="G10" s="202"/>
      <c r="H10" s="202"/>
      <c r="I10" s="202"/>
      <c r="J10" s="202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</row>
    <row r="11" spans="1:24" x14ac:dyDescent="0.2">
      <c r="A11" s="191"/>
      <c r="B11" s="250" t="s">
        <v>139</v>
      </c>
      <c r="C11" s="251" t="s">
        <v>5</v>
      </c>
      <c r="D11" s="212">
        <f>IF(C5=0,0,7)</f>
        <v>0</v>
      </c>
      <c r="E11" s="160"/>
      <c r="F11" s="202"/>
      <c r="G11" s="202"/>
      <c r="H11" s="202"/>
      <c r="I11" s="202"/>
      <c r="J11" s="202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</row>
    <row r="12" spans="1:24" x14ac:dyDescent="0.2">
      <c r="A12" s="191"/>
      <c r="B12" s="248" t="s">
        <v>151</v>
      </c>
      <c r="C12" s="251" t="s">
        <v>2</v>
      </c>
      <c r="D12" s="255">
        <f>D8-(D8*D11)%</f>
        <v>0</v>
      </c>
      <c r="E12" s="163"/>
      <c r="F12" s="202"/>
      <c r="G12" s="202"/>
      <c r="H12" s="202"/>
      <c r="I12" s="202"/>
      <c r="J12" s="202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</row>
    <row r="13" spans="1:24" x14ac:dyDescent="0.2">
      <c r="A13" s="191"/>
      <c r="B13" s="250" t="s">
        <v>140</v>
      </c>
      <c r="C13" s="251" t="s">
        <v>5</v>
      </c>
      <c r="D13" s="214">
        <f>IF($C$5=0,0,5)</f>
        <v>0</v>
      </c>
      <c r="E13" s="160"/>
      <c r="F13" s="202"/>
      <c r="G13" s="202"/>
      <c r="H13" s="202"/>
      <c r="I13" s="202"/>
      <c r="J13" s="202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</row>
    <row r="14" spans="1:24" x14ac:dyDescent="0.2">
      <c r="A14" s="191"/>
      <c r="B14" s="248" t="s">
        <v>7</v>
      </c>
      <c r="C14" s="251" t="s">
        <v>2</v>
      </c>
      <c r="D14" s="227">
        <f>IF($C$5=0,0,D15/D10%)</f>
        <v>0</v>
      </c>
      <c r="E14" s="160"/>
      <c r="F14" s="202"/>
      <c r="G14" s="202"/>
      <c r="H14" s="202"/>
      <c r="I14" s="202"/>
      <c r="J14" s="202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</row>
    <row r="15" spans="1:24" x14ac:dyDescent="0.2">
      <c r="A15" s="191"/>
      <c r="B15" s="248" t="s">
        <v>8</v>
      </c>
      <c r="C15" s="251" t="s">
        <v>2</v>
      </c>
      <c r="D15" s="227">
        <f>(D8-(D8*(D11+D13)%))*D10%</f>
        <v>0</v>
      </c>
      <c r="E15" s="160"/>
      <c r="F15" s="202"/>
      <c r="G15" s="202"/>
      <c r="H15" s="202"/>
      <c r="I15" s="202"/>
      <c r="J15" s="202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</row>
    <row r="16" spans="1:24" x14ac:dyDescent="0.2">
      <c r="A16" s="191"/>
      <c r="B16" s="250" t="s">
        <v>9</v>
      </c>
      <c r="C16" s="251" t="s">
        <v>5</v>
      </c>
      <c r="D16" s="254">
        <f>IF(C5=0,0,90)</f>
        <v>0</v>
      </c>
      <c r="E16" s="160"/>
      <c r="F16" s="202"/>
      <c r="G16" s="202"/>
      <c r="H16" s="202"/>
      <c r="I16" s="202"/>
      <c r="J16" s="202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</row>
    <row r="17" spans="1:24" x14ac:dyDescent="0.2">
      <c r="A17" s="191"/>
      <c r="B17" s="250" t="s">
        <v>165</v>
      </c>
      <c r="C17" s="251" t="s">
        <v>167</v>
      </c>
      <c r="D17" s="214">
        <f>IF(C5=0,0,650)</f>
        <v>0</v>
      </c>
      <c r="E17" s="160"/>
      <c r="F17" s="202"/>
      <c r="G17" s="202"/>
      <c r="H17" s="202"/>
      <c r="I17" s="202"/>
      <c r="J17" s="202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</row>
    <row r="18" spans="1:24" x14ac:dyDescent="0.2">
      <c r="A18" s="191"/>
      <c r="B18" s="250" t="s">
        <v>166</v>
      </c>
      <c r="C18" s="251" t="s">
        <v>167</v>
      </c>
      <c r="D18" s="229">
        <f>D17*0.523</f>
        <v>0</v>
      </c>
      <c r="E18" s="160"/>
      <c r="F18" s="202"/>
      <c r="G18" s="202"/>
      <c r="H18" s="202"/>
      <c r="I18" s="202"/>
      <c r="J18" s="202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</row>
    <row r="19" spans="1:24" s="142" customFormat="1" x14ac:dyDescent="0.2">
      <c r="A19" s="296"/>
      <c r="B19" s="328" t="s">
        <v>163</v>
      </c>
      <c r="C19" s="329" t="s">
        <v>164</v>
      </c>
      <c r="D19" s="330">
        <f>D15*0.96*D18%*10</f>
        <v>0</v>
      </c>
      <c r="E19" s="164"/>
      <c r="F19" s="203"/>
      <c r="G19" s="203"/>
      <c r="H19" s="203"/>
      <c r="I19" s="203"/>
      <c r="J19" s="203"/>
      <c r="K19" s="203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</row>
    <row r="20" spans="1:24" s="143" customFormat="1" hidden="1" x14ac:dyDescent="0.2">
      <c r="A20" s="297"/>
      <c r="B20" s="248" t="s">
        <v>11</v>
      </c>
      <c r="C20" s="251" t="s">
        <v>12</v>
      </c>
      <c r="D20" s="212">
        <v>0</v>
      </c>
      <c r="E20" s="165" t="s">
        <v>13</v>
      </c>
      <c r="F20" s="202"/>
      <c r="G20" s="202"/>
      <c r="H20" s="202"/>
      <c r="I20" s="202"/>
      <c r="J20" s="204"/>
      <c r="K20" s="204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</row>
    <row r="21" spans="1:24" s="143" customFormat="1" ht="6.75" customHeight="1" x14ac:dyDescent="0.2">
      <c r="A21" s="297"/>
      <c r="B21" s="252"/>
      <c r="C21" s="253"/>
      <c r="D21" s="257"/>
      <c r="E21" s="160"/>
      <c r="F21" s="202"/>
      <c r="G21" s="202"/>
      <c r="H21" s="202"/>
      <c r="I21" s="202"/>
      <c r="J21" s="204"/>
      <c r="K21" s="204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</row>
    <row r="22" spans="1:24" x14ac:dyDescent="0.2">
      <c r="A22" s="191"/>
      <c r="B22" s="150" t="s">
        <v>100</v>
      </c>
      <c r="C22" s="151"/>
      <c r="D22" s="222"/>
      <c r="E22" s="160"/>
      <c r="F22" s="202"/>
      <c r="G22" s="202"/>
      <c r="H22" s="202"/>
      <c r="I22" s="202"/>
      <c r="J22" s="202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</row>
    <row r="23" spans="1:24" x14ac:dyDescent="0.2">
      <c r="A23" s="191"/>
      <c r="B23" s="258" t="s">
        <v>14</v>
      </c>
      <c r="C23" s="251" t="s">
        <v>116</v>
      </c>
      <c r="D23" s="211">
        <f>IF(C5=1,'Übersicht zu Vollkosten in SN'!D23,IF(C5=2,'Übersicht zu Vollkosten in SN'!E23,IF(C5=3,'Übersicht zu Vollkosten in SN'!F23,IF(C5=4,'Übersicht zu Vollkosten in SN'!G23,0))))</f>
        <v>0</v>
      </c>
      <c r="E23" s="160"/>
      <c r="F23" s="202"/>
      <c r="G23" s="202"/>
      <c r="H23" s="202"/>
      <c r="I23" s="202"/>
      <c r="J23" s="202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</row>
    <row r="24" spans="1:24" x14ac:dyDescent="0.2">
      <c r="A24" s="191"/>
      <c r="B24" s="258" t="s">
        <v>16</v>
      </c>
      <c r="C24" s="251" t="s">
        <v>117</v>
      </c>
      <c r="D24" s="211">
        <f>IF($C$5=0,0,115)</f>
        <v>0</v>
      </c>
      <c r="E24" s="160"/>
      <c r="F24" s="202"/>
      <c r="G24" s="202"/>
      <c r="H24" s="202"/>
      <c r="I24" s="202"/>
      <c r="J24" s="202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</row>
    <row r="25" spans="1:24" x14ac:dyDescent="0.2">
      <c r="A25" s="191"/>
      <c r="B25" s="153" t="s">
        <v>17</v>
      </c>
      <c r="C25" s="154" t="s">
        <v>12</v>
      </c>
      <c r="D25" s="223">
        <f>D23*D24</f>
        <v>0</v>
      </c>
      <c r="E25" s="160"/>
      <c r="F25" s="202"/>
      <c r="G25" s="202"/>
      <c r="H25" s="202"/>
      <c r="I25" s="202"/>
      <c r="J25" s="202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</row>
    <row r="26" spans="1:24" x14ac:dyDescent="0.2">
      <c r="A26" s="191"/>
      <c r="B26" s="258" t="s">
        <v>18</v>
      </c>
      <c r="C26" s="251" t="s">
        <v>19</v>
      </c>
      <c r="D26" s="215">
        <f>IF($C$5=0,0,1)</f>
        <v>0</v>
      </c>
      <c r="E26" s="160"/>
      <c r="F26" s="202"/>
      <c r="G26" s="202"/>
      <c r="H26" s="202"/>
      <c r="I26" s="202"/>
      <c r="J26" s="202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</row>
    <row r="27" spans="1:24" x14ac:dyDescent="0.2">
      <c r="A27" s="191"/>
      <c r="B27" s="258" t="s">
        <v>20</v>
      </c>
      <c r="C27" s="251" t="s">
        <v>21</v>
      </c>
      <c r="D27" s="211">
        <f>IF(C5=1,'Übersicht zu Vollkosten in SN'!D30,IF(C5=2,'Übersicht zu Vollkosten in SN'!E30,IF(C5=3,'Übersicht zu Vollkosten in SN'!F30,IF(C5=4,'Übersicht zu Vollkosten in SN'!G30,0))))</f>
        <v>0</v>
      </c>
      <c r="E27" s="160"/>
      <c r="F27" s="202"/>
      <c r="G27" s="202"/>
      <c r="H27" s="202"/>
      <c r="I27" s="202"/>
      <c r="J27" s="202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</row>
    <row r="28" spans="1:24" x14ac:dyDescent="0.2">
      <c r="A28" s="191"/>
      <c r="B28" s="258" t="s">
        <v>22</v>
      </c>
      <c r="C28" s="251" t="s">
        <v>19</v>
      </c>
      <c r="D28" s="211">
        <f>IF($C$5=0,0,0)</f>
        <v>0</v>
      </c>
      <c r="E28" s="160"/>
      <c r="F28" s="202"/>
      <c r="G28" s="202"/>
      <c r="H28" s="202"/>
      <c r="I28" s="202"/>
      <c r="J28" s="202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</row>
    <row r="29" spans="1:24" x14ac:dyDescent="0.2">
      <c r="A29" s="191"/>
      <c r="B29" s="258" t="s">
        <v>23</v>
      </c>
      <c r="C29" s="251" t="s">
        <v>21</v>
      </c>
      <c r="D29" s="211">
        <f>IF($C$5=0,0,0)</f>
        <v>0</v>
      </c>
      <c r="E29" s="160"/>
      <c r="F29" s="202"/>
      <c r="G29" s="202"/>
      <c r="H29" s="202"/>
      <c r="I29" s="202"/>
      <c r="J29" s="202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</row>
    <row r="30" spans="1:24" x14ac:dyDescent="0.2">
      <c r="A30" s="191"/>
      <c r="B30" s="153" t="s">
        <v>24</v>
      </c>
      <c r="C30" s="154" t="s">
        <v>12</v>
      </c>
      <c r="D30" s="223">
        <f>D26*D27+D28*D29</f>
        <v>0</v>
      </c>
      <c r="E30" s="160"/>
      <c r="F30" s="202"/>
      <c r="G30" s="202"/>
      <c r="H30" s="202"/>
      <c r="I30" s="202"/>
      <c r="J30" s="202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</row>
    <row r="31" spans="1:24" x14ac:dyDescent="0.2">
      <c r="A31" s="191"/>
      <c r="B31" s="258" t="s">
        <v>25</v>
      </c>
      <c r="C31" s="251" t="s">
        <v>15</v>
      </c>
      <c r="D31" s="211">
        <f>IF(C5=1,'Übersicht zu Vollkosten in SN'!D31,IF(C5=2,'Übersicht zu Vollkosten in SN'!E31,IF(C5=3,'Übersicht zu Vollkosten in SN'!F31,IF(C5=4,'Übersicht zu Vollkosten in SN'!G31,0))))</f>
        <v>0</v>
      </c>
      <c r="E31" s="378" t="s">
        <v>179</v>
      </c>
      <c r="F31" s="202"/>
      <c r="G31" s="202"/>
      <c r="H31" s="202"/>
      <c r="I31" s="202"/>
      <c r="J31" s="202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</row>
    <row r="32" spans="1:24" x14ac:dyDescent="0.2">
      <c r="A32" s="191"/>
      <c r="B32" s="258" t="s">
        <v>26</v>
      </c>
      <c r="C32" s="251" t="s">
        <v>15</v>
      </c>
      <c r="D32" s="211">
        <f>D8*0.18</f>
        <v>0</v>
      </c>
      <c r="E32" s="165" t="s">
        <v>119</v>
      </c>
      <c r="F32" s="202"/>
      <c r="G32" s="202"/>
      <c r="H32" s="202"/>
      <c r="I32" s="202"/>
      <c r="J32" s="202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</row>
    <row r="33" spans="1:24" x14ac:dyDescent="0.2">
      <c r="A33" s="191"/>
      <c r="B33" s="258" t="s">
        <v>27</v>
      </c>
      <c r="C33" s="251" t="s">
        <v>15</v>
      </c>
      <c r="D33" s="211">
        <f>D8*0.55</f>
        <v>0</v>
      </c>
      <c r="E33" s="165" t="s">
        <v>120</v>
      </c>
      <c r="F33" s="202"/>
      <c r="G33" s="202"/>
      <c r="H33" s="202"/>
      <c r="I33" s="202"/>
      <c r="J33" s="202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</row>
    <row r="34" spans="1:24" x14ac:dyDescent="0.2">
      <c r="A34" s="191"/>
      <c r="B34" s="153" t="s">
        <v>28</v>
      </c>
      <c r="C34" s="154" t="s">
        <v>12</v>
      </c>
      <c r="D34" s="223">
        <f>D31*1.4+D32*1.1+D33*0.85</f>
        <v>0</v>
      </c>
      <c r="E34" s="160"/>
      <c r="F34" s="202"/>
      <c r="G34" s="202"/>
      <c r="H34" s="202"/>
      <c r="I34" s="202"/>
      <c r="J34" s="202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</row>
    <row r="35" spans="1:24" x14ac:dyDescent="0.2">
      <c r="A35" s="191"/>
      <c r="B35" s="258" t="s">
        <v>29</v>
      </c>
      <c r="C35" s="251" t="s">
        <v>12</v>
      </c>
      <c r="D35" s="211">
        <f>IF(C5=1,'Übersicht zu Vollkosten in SN'!D35,IF(C5=2,'Übersicht zu Vollkosten in SN'!E35,IF(C5=3,'Übersicht zu Vollkosten in SN'!F35,IF(C5=4,'Übersicht zu Vollkosten in SN'!G35,0))))</f>
        <v>0</v>
      </c>
      <c r="E35" s="160"/>
      <c r="F35" s="202"/>
      <c r="G35" s="202"/>
      <c r="H35" s="202"/>
      <c r="I35" s="202"/>
      <c r="J35" s="202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</row>
    <row r="36" spans="1:24" x14ac:dyDescent="0.2">
      <c r="A36" s="191"/>
      <c r="B36" s="258" t="s">
        <v>30</v>
      </c>
      <c r="C36" s="251" t="s">
        <v>12</v>
      </c>
      <c r="D36" s="211">
        <f>IF(C5=1,'Übersicht zu Vollkosten in SN'!D36,IF(C5=2,'Übersicht zu Vollkosten in SN'!E36,IF(C5=3,'Übersicht zu Vollkosten in SN'!F36,IF(C5=4,'Übersicht zu Vollkosten in SN'!G36,0))))</f>
        <v>0</v>
      </c>
      <c r="E36" s="166" t="s">
        <v>123</v>
      </c>
      <c r="F36" s="202"/>
      <c r="G36" s="202"/>
      <c r="H36" s="202"/>
      <c r="I36" s="202"/>
      <c r="J36" s="202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</row>
    <row r="37" spans="1:24" x14ac:dyDescent="0.2">
      <c r="A37" s="191"/>
      <c r="B37" s="258" t="s">
        <v>31</v>
      </c>
      <c r="C37" s="251" t="s">
        <v>12</v>
      </c>
      <c r="D37" s="211">
        <f>IF(C5=1,'Übersicht zu Vollkosten in SN'!D37,IF(C5=2,'Übersicht zu Vollkosten in SN'!E37,IF(C5=3,'Übersicht zu Vollkosten in SN'!F37,IF(C5=4,'Übersicht zu Vollkosten in SN'!G37,0))))</f>
        <v>0</v>
      </c>
      <c r="E37" s="165" t="s">
        <v>124</v>
      </c>
      <c r="F37" s="202"/>
      <c r="G37" s="202"/>
      <c r="H37" s="202"/>
      <c r="I37" s="202"/>
      <c r="J37" s="202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</row>
    <row r="38" spans="1:24" x14ac:dyDescent="0.2">
      <c r="A38" s="191"/>
      <c r="B38" s="258" t="s">
        <v>32</v>
      </c>
      <c r="C38" s="251" t="s">
        <v>12</v>
      </c>
      <c r="D38" s="211">
        <f>IF(C5=1,'Übersicht zu Vollkosten in SN'!D38,IF(C5=2,'Übersicht zu Vollkosten in SN'!E38,IF(C5=3,'Übersicht zu Vollkosten in SN'!F38,IF(C5=4,'Übersicht zu Vollkosten in SN'!G38,0))))</f>
        <v>0</v>
      </c>
      <c r="E38" s="165" t="s">
        <v>125</v>
      </c>
      <c r="F38" s="202"/>
      <c r="G38" s="202"/>
      <c r="H38" s="202"/>
      <c r="I38" s="202"/>
      <c r="J38" s="202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</row>
    <row r="39" spans="1:24" hidden="1" x14ac:dyDescent="0.2">
      <c r="A39" s="191"/>
      <c r="B39" s="259" t="s">
        <v>33</v>
      </c>
      <c r="C39" s="260" t="s">
        <v>12</v>
      </c>
      <c r="D39" s="216">
        <f>SUM(D36:D38)</f>
        <v>0</v>
      </c>
      <c r="E39" s="167"/>
      <c r="F39" s="202"/>
      <c r="G39" s="202"/>
      <c r="H39" s="202"/>
      <c r="I39" s="202"/>
      <c r="J39" s="202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</row>
    <row r="40" spans="1:24" x14ac:dyDescent="0.2">
      <c r="A40" s="191"/>
      <c r="B40" s="258" t="s">
        <v>114</v>
      </c>
      <c r="C40" s="251" t="s">
        <v>5</v>
      </c>
      <c r="D40" s="211">
        <f>IF(C5=1,'Übersicht zu Vollkosten in SN'!D40,IF(C5=2,'Übersicht zu Vollkosten in SN'!E40,IF(C5=3,'Übersicht zu Vollkosten in SN'!F40,IF(C5=4,'Übersicht zu Vollkosten in SN'!G40,0))))</f>
        <v>0</v>
      </c>
      <c r="E40" s="160"/>
      <c r="F40" s="202"/>
      <c r="G40" s="202"/>
      <c r="H40" s="202"/>
      <c r="I40" s="202"/>
      <c r="J40" s="202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</row>
    <row r="41" spans="1:24" x14ac:dyDescent="0.2">
      <c r="A41" s="191"/>
      <c r="B41" s="153" t="s">
        <v>33</v>
      </c>
      <c r="C41" s="154" t="s">
        <v>12</v>
      </c>
      <c r="D41" s="224">
        <f>D39+(D39*D40%)</f>
        <v>0</v>
      </c>
      <c r="E41" s="160"/>
      <c r="F41" s="202"/>
      <c r="G41" s="202"/>
      <c r="H41" s="202"/>
      <c r="I41" s="202"/>
      <c r="J41" s="202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</row>
    <row r="42" spans="1:24" x14ac:dyDescent="0.2">
      <c r="A42" s="191"/>
      <c r="B42" s="258" t="s">
        <v>37</v>
      </c>
      <c r="C42" s="251" t="s">
        <v>12</v>
      </c>
      <c r="D42" s="211">
        <f>IF($C$5=0,0,0)</f>
        <v>0</v>
      </c>
      <c r="E42" s="165"/>
      <c r="F42" s="202"/>
      <c r="G42" s="202"/>
      <c r="H42" s="202"/>
      <c r="I42" s="202"/>
      <c r="J42" s="202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</row>
    <row r="43" spans="1:24" x14ac:dyDescent="0.2">
      <c r="A43" s="191"/>
      <c r="B43" s="258" t="s">
        <v>38</v>
      </c>
      <c r="C43" s="251" t="s">
        <v>12</v>
      </c>
      <c r="D43" s="211">
        <f>IF($C$5=0,0,0)</f>
        <v>0</v>
      </c>
      <c r="E43" s="160"/>
      <c r="F43" s="202"/>
      <c r="G43" s="202"/>
      <c r="H43" s="202"/>
      <c r="I43" s="202"/>
      <c r="J43" s="202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</row>
    <row r="44" spans="1:24" x14ac:dyDescent="0.2">
      <c r="A44" s="191"/>
      <c r="B44" s="258" t="s">
        <v>150</v>
      </c>
      <c r="C44" s="251" t="s">
        <v>5</v>
      </c>
      <c r="D44" s="217">
        <f>IF($C$5=0,0,0.33)</f>
        <v>0</v>
      </c>
      <c r="E44" s="160"/>
      <c r="F44" s="202"/>
      <c r="G44" s="202"/>
      <c r="H44" s="202"/>
      <c r="I44" s="202"/>
      <c r="J44" s="202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</row>
    <row r="45" spans="1:24" x14ac:dyDescent="0.2">
      <c r="A45" s="191"/>
      <c r="B45" s="258" t="s">
        <v>96</v>
      </c>
      <c r="C45" s="251" t="s">
        <v>12</v>
      </c>
      <c r="D45" s="211">
        <f>((D8/0.65/10)*0.25)+(D8/10*2*D44)</f>
        <v>0</v>
      </c>
      <c r="E45" s="160"/>
      <c r="F45" s="202"/>
      <c r="G45" s="202"/>
      <c r="H45" s="202"/>
      <c r="I45" s="202"/>
      <c r="J45" s="202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</row>
    <row r="46" spans="1:24" x14ac:dyDescent="0.2">
      <c r="A46" s="191"/>
      <c r="B46" s="258" t="s">
        <v>40</v>
      </c>
      <c r="C46" s="251" t="s">
        <v>12</v>
      </c>
      <c r="D46" s="211">
        <v>0</v>
      </c>
      <c r="E46" s="160"/>
      <c r="F46" s="202"/>
      <c r="G46" s="202"/>
      <c r="H46" s="202"/>
      <c r="I46" s="202"/>
      <c r="J46" s="202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</row>
    <row r="47" spans="1:24" x14ac:dyDescent="0.2">
      <c r="A47" s="191"/>
      <c r="B47" s="153" t="s">
        <v>41</v>
      </c>
      <c r="C47" s="154" t="s">
        <v>12</v>
      </c>
      <c r="D47" s="223">
        <f>D25+D30+D34+D35+D41+D42+D43+D45+D46</f>
        <v>0</v>
      </c>
      <c r="E47" s="160"/>
      <c r="F47" s="202"/>
      <c r="G47" s="202"/>
      <c r="H47" s="202"/>
      <c r="I47" s="202"/>
      <c r="J47" s="202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</row>
    <row r="48" spans="1:24" ht="7.5" customHeight="1" x14ac:dyDescent="0.2">
      <c r="A48" s="191"/>
      <c r="B48" s="261"/>
      <c r="C48" s="251"/>
      <c r="D48" s="227"/>
      <c r="E48" s="160"/>
      <c r="F48" s="202"/>
      <c r="G48" s="202"/>
      <c r="H48" s="202"/>
      <c r="I48" s="202"/>
      <c r="J48" s="202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</row>
    <row r="49" spans="1:24" x14ac:dyDescent="0.2">
      <c r="A49" s="191"/>
      <c r="B49" s="150" t="s">
        <v>42</v>
      </c>
      <c r="C49" s="151"/>
      <c r="D49" s="222"/>
      <c r="E49" s="160"/>
      <c r="F49" s="202"/>
      <c r="G49" s="202"/>
      <c r="H49" s="202"/>
      <c r="I49" s="202"/>
      <c r="J49" s="202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</row>
    <row r="50" spans="1:24" s="144" customFormat="1" x14ac:dyDescent="0.2">
      <c r="A50" s="191"/>
      <c r="B50" s="258" t="s">
        <v>69</v>
      </c>
      <c r="C50" s="251" t="s">
        <v>70</v>
      </c>
      <c r="D50" s="215">
        <f>IF(C5=1,'Übersicht zu Vollkosten in SN'!D86,IF(C5=2,'Übersicht zu Vollkosten in SN'!E86,IF(C5=3,'Übersicht zu Vollkosten in SN'!F86,IF(C5=4,'Übersicht zu Vollkosten in SN'!G86,0))))</f>
        <v>0</v>
      </c>
      <c r="E50" s="166" t="s">
        <v>126</v>
      </c>
      <c r="F50" s="202"/>
      <c r="G50" s="202"/>
      <c r="H50" s="202"/>
      <c r="I50" s="202"/>
      <c r="J50" s="202"/>
      <c r="K50" s="202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</row>
    <row r="51" spans="1:24" s="144" customFormat="1" x14ac:dyDescent="0.2">
      <c r="A51" s="191"/>
      <c r="B51" s="258" t="s">
        <v>71</v>
      </c>
      <c r="C51" s="251" t="s">
        <v>70</v>
      </c>
      <c r="D51" s="215">
        <f>D50*0.5</f>
        <v>0</v>
      </c>
      <c r="E51" s="166"/>
      <c r="F51" s="202"/>
      <c r="G51" s="202"/>
      <c r="H51" s="202"/>
      <c r="I51" s="202"/>
      <c r="J51" s="202"/>
      <c r="K51" s="202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</row>
    <row r="52" spans="1:24" s="144" customFormat="1" hidden="1" x14ac:dyDescent="0.2">
      <c r="A52" s="191"/>
      <c r="B52" s="258" t="s">
        <v>72</v>
      </c>
      <c r="C52" s="251" t="s">
        <v>5</v>
      </c>
      <c r="D52" s="211">
        <v>0</v>
      </c>
      <c r="E52" s="160"/>
      <c r="F52" s="202"/>
      <c r="G52" s="202"/>
      <c r="H52" s="202"/>
      <c r="I52" s="202"/>
      <c r="J52" s="202"/>
      <c r="K52" s="202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</row>
    <row r="53" spans="1:24" s="144" customFormat="1" x14ac:dyDescent="0.2">
      <c r="A53" s="191"/>
      <c r="B53" s="258" t="s">
        <v>73</v>
      </c>
      <c r="C53" s="251" t="s">
        <v>70</v>
      </c>
      <c r="D53" s="215">
        <f>IF($C$5=0,0,0)</f>
        <v>0</v>
      </c>
      <c r="E53" s="160"/>
      <c r="F53" s="202"/>
      <c r="G53" s="202"/>
      <c r="H53" s="202"/>
      <c r="I53" s="202"/>
      <c r="J53" s="202"/>
      <c r="K53" s="202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</row>
    <row r="54" spans="1:24" s="144" customFormat="1" hidden="1" x14ac:dyDescent="0.2">
      <c r="A54" s="191"/>
      <c r="B54" s="258" t="s">
        <v>74</v>
      </c>
      <c r="C54" s="251" t="s">
        <v>70</v>
      </c>
      <c r="D54" s="219">
        <f>((D50+D51)+(D50+D51)*D52%)+D53</f>
        <v>0</v>
      </c>
      <c r="E54" s="160"/>
      <c r="F54" s="202"/>
      <c r="G54" s="202"/>
      <c r="H54" s="202"/>
      <c r="I54" s="202"/>
      <c r="J54" s="202"/>
      <c r="K54" s="202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</row>
    <row r="55" spans="1:24" s="144" customFormat="1" x14ac:dyDescent="0.2">
      <c r="A55" s="191"/>
      <c r="B55" s="258" t="s">
        <v>75</v>
      </c>
      <c r="C55" s="251" t="s">
        <v>70</v>
      </c>
      <c r="D55" s="215">
        <f>IF($C$5=0,0,3)</f>
        <v>0</v>
      </c>
      <c r="E55" s="160"/>
      <c r="F55" s="202"/>
      <c r="G55" s="202"/>
      <c r="H55" s="202"/>
      <c r="I55" s="202"/>
      <c r="J55" s="202"/>
      <c r="K55" s="202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</row>
    <row r="56" spans="1:24" s="144" customFormat="1" hidden="1" x14ac:dyDescent="0.2">
      <c r="A56" s="191"/>
      <c r="B56" s="261" t="s">
        <v>76</v>
      </c>
      <c r="C56" s="262" t="s">
        <v>70</v>
      </c>
      <c r="D56" s="218">
        <f>SUM(D54:D55)</f>
        <v>0</v>
      </c>
      <c r="E56" s="160"/>
      <c r="F56" s="202"/>
      <c r="G56" s="202"/>
      <c r="H56" s="202"/>
      <c r="I56" s="202"/>
      <c r="J56" s="202"/>
      <c r="K56" s="202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</row>
    <row r="57" spans="1:24" x14ac:dyDescent="0.2">
      <c r="A57" s="191"/>
      <c r="B57" s="258" t="s">
        <v>97</v>
      </c>
      <c r="C57" s="251" t="s">
        <v>98</v>
      </c>
      <c r="D57" s="214">
        <f>IF($C$5=0,0,19.5)</f>
        <v>0</v>
      </c>
      <c r="E57" s="165" t="s">
        <v>160</v>
      </c>
      <c r="F57" s="202"/>
      <c r="G57" s="202"/>
      <c r="H57" s="202"/>
      <c r="I57" s="202"/>
      <c r="J57" s="202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</row>
    <row r="58" spans="1:24" s="144" customFormat="1" x14ac:dyDescent="0.2">
      <c r="A58" s="191"/>
      <c r="B58" s="153" t="s">
        <v>43</v>
      </c>
      <c r="C58" s="154" t="s">
        <v>12</v>
      </c>
      <c r="D58" s="223">
        <f>(D56-D53)*D57</f>
        <v>0</v>
      </c>
      <c r="E58" s="160"/>
      <c r="F58" s="202"/>
      <c r="G58" s="202"/>
      <c r="H58" s="202"/>
      <c r="I58" s="202"/>
      <c r="J58" s="202"/>
      <c r="K58" s="202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</row>
    <row r="59" spans="1:24" s="144" customFormat="1" ht="20.25" customHeight="1" x14ac:dyDescent="0.2">
      <c r="A59" s="191"/>
      <c r="B59" s="153" t="s">
        <v>94</v>
      </c>
      <c r="C59" s="154" t="s">
        <v>12</v>
      </c>
      <c r="D59" s="211">
        <f>IF($C$5=0,0,340)</f>
        <v>0</v>
      </c>
      <c r="E59" s="166" t="s">
        <v>126</v>
      </c>
      <c r="F59" s="202"/>
      <c r="G59" s="202"/>
      <c r="H59" s="202"/>
      <c r="I59" s="202"/>
      <c r="J59" s="202"/>
      <c r="K59" s="202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</row>
    <row r="60" spans="1:24" s="144" customFormat="1" hidden="1" x14ac:dyDescent="0.2">
      <c r="A60" s="191"/>
      <c r="B60" s="152" t="s">
        <v>44</v>
      </c>
      <c r="C60" s="149" t="s">
        <v>45</v>
      </c>
      <c r="D60" s="213">
        <v>650</v>
      </c>
      <c r="E60" s="160"/>
      <c r="F60" s="202"/>
      <c r="G60" s="202"/>
      <c r="H60" s="202"/>
      <c r="I60" s="202"/>
      <c r="J60" s="202"/>
      <c r="K60" s="202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</row>
    <row r="61" spans="1:24" s="144" customFormat="1" x14ac:dyDescent="0.2">
      <c r="A61" s="191"/>
      <c r="B61" s="258" t="s">
        <v>46</v>
      </c>
      <c r="C61" s="251" t="s">
        <v>10</v>
      </c>
      <c r="D61" s="230">
        <f>(D8-(D8*D11%))/D60*100</f>
        <v>0</v>
      </c>
      <c r="E61" s="165" t="s">
        <v>122</v>
      </c>
      <c r="F61" s="202"/>
      <c r="G61" s="202"/>
      <c r="H61" s="202"/>
      <c r="I61" s="202"/>
      <c r="J61" s="202"/>
      <c r="K61" s="202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</row>
    <row r="62" spans="1:24" s="144" customFormat="1" x14ac:dyDescent="0.2">
      <c r="A62" s="191"/>
      <c r="B62" s="258" t="s">
        <v>47</v>
      </c>
      <c r="C62" s="251" t="s">
        <v>12</v>
      </c>
      <c r="D62" s="351">
        <f>D61*45</f>
        <v>0</v>
      </c>
      <c r="E62" s="165" t="s">
        <v>160</v>
      </c>
      <c r="F62" s="202"/>
      <c r="G62" s="202"/>
      <c r="H62" s="202"/>
      <c r="I62" s="202"/>
      <c r="J62" s="202"/>
      <c r="K62" s="202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</row>
    <row r="63" spans="1:24" s="144" customFormat="1" x14ac:dyDescent="0.2">
      <c r="A63" s="191"/>
      <c r="B63" s="153" t="s">
        <v>48</v>
      </c>
      <c r="C63" s="154" t="s">
        <v>12</v>
      </c>
      <c r="D63" s="223">
        <f>D62*4%+D62*0.5%</f>
        <v>0</v>
      </c>
      <c r="E63" s="165" t="s">
        <v>154</v>
      </c>
      <c r="F63" s="202"/>
      <c r="G63" s="202"/>
      <c r="H63" s="202"/>
      <c r="I63" s="202"/>
      <c r="J63" s="202"/>
      <c r="K63" s="202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</row>
    <row r="64" spans="1:24" s="144" customFormat="1" x14ac:dyDescent="0.2">
      <c r="A64" s="191"/>
      <c r="B64" s="258" t="s">
        <v>49</v>
      </c>
      <c r="C64" s="251" t="s">
        <v>50</v>
      </c>
      <c r="D64" s="211">
        <f>IF($C$5=1,'Übersicht zu Vollkosten in SN'!D57,IF($C$5=2,'Übersicht zu Vollkosten in SN'!E57,IF($C$5=3,'Übersicht zu Vollkosten in SN'!F57,IF($C$5=4,'Übersicht zu Vollkosten in SN'!G57,0))))</f>
        <v>0</v>
      </c>
      <c r="E64" s="168"/>
      <c r="F64" s="202"/>
      <c r="G64" s="202"/>
      <c r="H64" s="202"/>
      <c r="I64" s="202"/>
      <c r="J64" s="202"/>
      <c r="K64" s="202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</row>
    <row r="65" spans="1:24" s="144" customFormat="1" x14ac:dyDescent="0.2">
      <c r="A65" s="191"/>
      <c r="B65" s="258" t="s">
        <v>51</v>
      </c>
      <c r="C65" s="251" t="s">
        <v>52</v>
      </c>
      <c r="D65" s="215">
        <f>IF($C$5=0,0,5.7)</f>
        <v>0</v>
      </c>
      <c r="E65" s="165" t="s">
        <v>158</v>
      </c>
      <c r="F65" s="202"/>
      <c r="G65" s="202"/>
      <c r="H65" s="202"/>
      <c r="I65" s="202"/>
      <c r="J65" s="202"/>
      <c r="K65" s="202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</row>
    <row r="66" spans="1:24" s="144" customFormat="1" x14ac:dyDescent="0.2">
      <c r="A66" s="191"/>
      <c r="B66" s="258" t="s">
        <v>171</v>
      </c>
      <c r="C66" s="165" t="s">
        <v>12</v>
      </c>
      <c r="D66" s="211">
        <f>IF($C$5=0,0,38)</f>
        <v>0</v>
      </c>
      <c r="E66" s="165"/>
      <c r="F66" s="202"/>
      <c r="G66" s="202"/>
      <c r="H66" s="202"/>
      <c r="I66" s="202"/>
      <c r="J66" s="202"/>
      <c r="K66" s="202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</row>
    <row r="67" spans="1:24" s="144" customFormat="1" x14ac:dyDescent="0.2">
      <c r="A67" s="191"/>
      <c r="B67" s="261" t="s">
        <v>53</v>
      </c>
      <c r="C67" s="262" t="s">
        <v>12</v>
      </c>
      <c r="D67" s="218">
        <f>D64*D65</f>
        <v>0</v>
      </c>
      <c r="E67" s="160"/>
      <c r="F67" s="202"/>
      <c r="G67" s="202"/>
      <c r="H67" s="202"/>
      <c r="I67" s="202"/>
      <c r="J67" s="202"/>
      <c r="K67" s="202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</row>
    <row r="68" spans="1:24" s="144" customFormat="1" x14ac:dyDescent="0.2">
      <c r="A68" s="191"/>
      <c r="B68" s="263" t="s">
        <v>105</v>
      </c>
      <c r="C68" s="251" t="s">
        <v>12</v>
      </c>
      <c r="D68" s="211">
        <f>IF($C$5=1,'Übersicht zu Vollkosten in SN'!D61,IF($C$5=2,'Übersicht zu Vollkosten in SN'!E61,IF($C$5=3,'Übersicht zu Vollkosten in SN'!F61,IF($C$5=4,'Übersicht zu Vollkosten in SN'!G61,0))))</f>
        <v>0</v>
      </c>
      <c r="E68" s="160"/>
      <c r="F68" s="202"/>
      <c r="G68" s="202"/>
      <c r="H68" s="202"/>
      <c r="I68" s="202"/>
      <c r="J68" s="202"/>
      <c r="K68" s="202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</row>
    <row r="69" spans="1:24" s="144" customFormat="1" x14ac:dyDescent="0.2">
      <c r="A69" s="191"/>
      <c r="B69" s="153" t="s">
        <v>54</v>
      </c>
      <c r="C69" s="154" t="s">
        <v>12</v>
      </c>
      <c r="D69" s="223">
        <f>D67+D68+D66</f>
        <v>0</v>
      </c>
      <c r="E69" s="160"/>
      <c r="F69" s="202"/>
      <c r="G69" s="202"/>
      <c r="H69" s="202"/>
      <c r="I69" s="202"/>
      <c r="J69" s="202"/>
      <c r="K69" s="202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</row>
    <row r="70" spans="1:24" s="144" customFormat="1" x14ac:dyDescent="0.2">
      <c r="A70" s="191"/>
      <c r="B70" s="153" t="s">
        <v>55</v>
      </c>
      <c r="C70" s="154" t="s">
        <v>12</v>
      </c>
      <c r="D70" s="211">
        <f>IF($C$5=0,0,150)</f>
        <v>0</v>
      </c>
      <c r="E70" s="160"/>
      <c r="F70" s="202"/>
      <c r="G70" s="202"/>
      <c r="H70" s="202"/>
      <c r="I70" s="202"/>
      <c r="J70" s="202"/>
      <c r="K70" s="202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</row>
    <row r="71" spans="1:24" s="144" customFormat="1" ht="18" customHeight="1" x14ac:dyDescent="0.25">
      <c r="A71" s="191"/>
      <c r="B71" s="361" t="s">
        <v>101</v>
      </c>
      <c r="C71" s="362" t="s">
        <v>12</v>
      </c>
      <c r="D71" s="363">
        <f>IF(C5=0,0,IF(C5&gt;4,0,(D47+D58+D59+D63+D69+D70)))</f>
        <v>0</v>
      </c>
      <c r="E71" s="160"/>
      <c r="F71" s="202"/>
      <c r="G71" s="202"/>
      <c r="H71" s="202"/>
      <c r="I71" s="202"/>
      <c r="J71" s="202"/>
      <c r="K71" s="202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</row>
    <row r="72" spans="1:24" s="144" customFormat="1" ht="18" customHeight="1" x14ac:dyDescent="0.25">
      <c r="A72" s="191"/>
      <c r="B72" s="361" t="s">
        <v>142</v>
      </c>
      <c r="C72" s="362" t="s">
        <v>113</v>
      </c>
      <c r="D72" s="364">
        <f>ROUND(IF($C$5=0,0,IF(C5&gt;4,0,(D71)/D14)),1)</f>
        <v>0</v>
      </c>
      <c r="E72" s="160"/>
      <c r="F72" s="202"/>
      <c r="G72" s="202"/>
      <c r="H72" s="202"/>
      <c r="I72" s="202"/>
      <c r="J72" s="202"/>
      <c r="K72" s="202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</row>
    <row r="73" spans="1:24" s="144" customFormat="1" ht="18" customHeight="1" x14ac:dyDescent="0.25">
      <c r="A73" s="191"/>
      <c r="B73" s="361" t="s">
        <v>142</v>
      </c>
      <c r="C73" s="362" t="s">
        <v>159</v>
      </c>
      <c r="D73" s="364">
        <f>ROUND(IF($C$5=0,0,IF(C6&gt;4,0,(D71)/D15)),1)</f>
        <v>0</v>
      </c>
      <c r="E73" s="160"/>
      <c r="F73" s="202"/>
      <c r="G73" s="202"/>
      <c r="H73" s="202"/>
      <c r="I73" s="202"/>
      <c r="J73" s="202"/>
      <c r="K73" s="202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</row>
    <row r="74" spans="1:24" s="144" customFormat="1" x14ac:dyDescent="0.2">
      <c r="A74" s="191"/>
      <c r="B74" s="258" t="s">
        <v>57</v>
      </c>
      <c r="C74" s="251" t="s">
        <v>12</v>
      </c>
      <c r="D74" s="220">
        <f>((D25+D30+D34+D45)*6%)/12*6</f>
        <v>0</v>
      </c>
      <c r="E74" s="165" t="s">
        <v>118</v>
      </c>
      <c r="F74" s="202"/>
      <c r="G74" s="202"/>
      <c r="H74" s="202"/>
      <c r="I74" s="202"/>
      <c r="J74" s="202"/>
      <c r="K74" s="202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</row>
    <row r="75" spans="1:24" x14ac:dyDescent="0.2">
      <c r="A75" s="191"/>
      <c r="B75" s="258" t="s">
        <v>58</v>
      </c>
      <c r="C75" s="251" t="s">
        <v>12</v>
      </c>
      <c r="D75" s="220">
        <f>(D62/2)*6%</f>
        <v>0</v>
      </c>
      <c r="E75" s="165" t="s">
        <v>121</v>
      </c>
      <c r="F75" s="202"/>
      <c r="G75" s="202"/>
      <c r="H75" s="202"/>
      <c r="I75" s="202"/>
      <c r="J75" s="202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</row>
    <row r="76" spans="1:24" x14ac:dyDescent="0.2">
      <c r="A76" s="191"/>
      <c r="B76" s="155" t="s">
        <v>102</v>
      </c>
      <c r="C76" s="156" t="s">
        <v>12</v>
      </c>
      <c r="D76" s="225">
        <f>D71+D74+D75</f>
        <v>0</v>
      </c>
      <c r="E76" s="160"/>
      <c r="F76" s="202"/>
      <c r="G76" s="202"/>
      <c r="H76" s="202"/>
      <c r="I76" s="202"/>
      <c r="J76" s="202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</row>
    <row r="77" spans="1:24" ht="21" customHeight="1" x14ac:dyDescent="0.25">
      <c r="A77" s="191"/>
      <c r="B77" s="157" t="s">
        <v>106</v>
      </c>
      <c r="C77" s="158" t="s">
        <v>113</v>
      </c>
      <c r="D77" s="350">
        <f>ROUND(IF($C$5=0,0,IF(C5&gt;4,0,(D76)/D14)),1)</f>
        <v>0</v>
      </c>
      <c r="E77" s="160"/>
      <c r="F77" s="202"/>
      <c r="G77" s="202"/>
      <c r="H77" s="202"/>
      <c r="I77" s="202"/>
      <c r="J77" s="202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</row>
    <row r="78" spans="1:24" s="144" customFormat="1" ht="15.75" hidden="1" customHeight="1" x14ac:dyDescent="0.2">
      <c r="A78" s="191"/>
      <c r="B78" s="159" t="s">
        <v>107</v>
      </c>
      <c r="C78" s="158" t="s">
        <v>61</v>
      </c>
      <c r="D78" s="226">
        <f>IF($C$5=0,0,IF(C5&gt;4,0,(D76-D20)/D14))</f>
        <v>0</v>
      </c>
      <c r="E78" s="161"/>
      <c r="F78" s="202"/>
      <c r="G78" s="202"/>
      <c r="H78" s="202"/>
      <c r="I78" s="202"/>
      <c r="J78" s="202"/>
      <c r="K78" s="202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</row>
    <row r="79" spans="1:24" x14ac:dyDescent="0.2">
      <c r="A79" s="191"/>
      <c r="B79" s="327" t="s">
        <v>183</v>
      </c>
      <c r="C79" s="300"/>
      <c r="D79" s="301"/>
      <c r="E79" s="302"/>
      <c r="F79" s="202"/>
      <c r="G79" s="202"/>
      <c r="H79" s="202"/>
      <c r="I79" s="202"/>
      <c r="J79" s="202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</row>
    <row r="80" spans="1:24" ht="4.9000000000000004" customHeight="1" x14ac:dyDescent="0.2">
      <c r="A80" s="191"/>
      <c r="B80" s="345"/>
      <c r="C80" s="346"/>
      <c r="D80" s="347"/>
      <c r="E80" s="348"/>
      <c r="F80" s="202"/>
      <c r="G80" s="202"/>
      <c r="H80" s="202"/>
      <c r="I80" s="202"/>
      <c r="J80" s="202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</row>
    <row r="81" spans="1:24" s="266" customFormat="1" ht="11.25" x14ac:dyDescent="0.2">
      <c r="A81" s="298"/>
      <c r="B81" s="383" t="s">
        <v>180</v>
      </c>
      <c r="C81" s="384" t="s">
        <v>177</v>
      </c>
      <c r="D81" s="385"/>
      <c r="E81" s="303"/>
      <c r="F81" s="265"/>
      <c r="G81" s="265"/>
      <c r="H81" s="265"/>
      <c r="I81" s="265"/>
      <c r="J81" s="265"/>
      <c r="K81" s="265"/>
      <c r="L81" s="376"/>
      <c r="M81" s="376"/>
      <c r="N81" s="376"/>
      <c r="O81" s="376"/>
      <c r="P81" s="376"/>
      <c r="Q81" s="376"/>
      <c r="R81" s="376"/>
      <c r="S81" s="376"/>
      <c r="T81" s="376"/>
      <c r="U81" s="376"/>
      <c r="V81" s="376"/>
      <c r="W81" s="376"/>
      <c r="X81" s="376"/>
    </row>
    <row r="82" spans="1:24" s="266" customFormat="1" ht="11.25" x14ac:dyDescent="0.2">
      <c r="A82" s="298"/>
      <c r="B82" s="367" t="s">
        <v>181</v>
      </c>
      <c r="C82" s="349" t="s">
        <v>178</v>
      </c>
      <c r="D82" s="304"/>
      <c r="E82" s="303"/>
      <c r="F82" s="265"/>
      <c r="G82" s="265"/>
      <c r="H82" s="265"/>
      <c r="I82" s="265"/>
      <c r="J82" s="265"/>
      <c r="K82" s="265"/>
      <c r="L82" s="376"/>
      <c r="M82" s="376"/>
      <c r="N82" s="376"/>
      <c r="O82" s="376"/>
      <c r="P82" s="376"/>
      <c r="Q82" s="376"/>
      <c r="R82" s="376"/>
      <c r="S82" s="376"/>
      <c r="T82" s="376"/>
      <c r="U82" s="376"/>
      <c r="V82" s="376"/>
      <c r="W82" s="376"/>
      <c r="X82" s="376"/>
    </row>
    <row r="83" spans="1:24" s="139" customFormat="1" ht="16.5" customHeight="1" x14ac:dyDescent="0.2">
      <c r="A83" s="299"/>
      <c r="B83" s="365"/>
      <c r="C83" s="365"/>
      <c r="D83" s="366"/>
      <c r="E83" s="264" t="s">
        <v>147</v>
      </c>
      <c r="F83" s="264" t="s">
        <v>148</v>
      </c>
      <c r="G83" s="295"/>
      <c r="H83" s="295"/>
      <c r="I83" s="295"/>
      <c r="J83" s="295"/>
      <c r="K83" s="207"/>
      <c r="L83" s="377"/>
      <c r="M83" s="377"/>
      <c r="N83" s="377"/>
      <c r="O83" s="377"/>
      <c r="P83" s="377"/>
      <c r="Q83" s="377"/>
      <c r="R83" s="377"/>
      <c r="S83" s="377"/>
      <c r="T83" s="377"/>
      <c r="U83" s="377"/>
      <c r="V83" s="377"/>
      <c r="W83" s="377"/>
      <c r="X83" s="377"/>
    </row>
    <row r="84" spans="1:24" x14ac:dyDescent="0.2">
      <c r="B84" s="202"/>
      <c r="C84" s="207"/>
      <c r="D84" s="209"/>
      <c r="E84" s="207"/>
      <c r="F84" s="202"/>
      <c r="G84" s="202"/>
      <c r="H84" s="202"/>
      <c r="I84" s="202"/>
      <c r="J84" s="202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</row>
    <row r="85" spans="1:24" x14ac:dyDescent="0.2">
      <c r="B85" s="202"/>
      <c r="C85" s="207"/>
      <c r="D85" s="209"/>
      <c r="E85" s="207"/>
      <c r="F85" s="202"/>
      <c r="G85" s="202"/>
      <c r="H85" s="202"/>
      <c r="I85" s="202"/>
      <c r="J85" s="202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</row>
    <row r="86" spans="1:24" x14ac:dyDescent="0.2">
      <c r="B86" s="202"/>
      <c r="C86" s="207"/>
      <c r="D86" s="209"/>
      <c r="E86" s="207"/>
      <c r="F86" s="202"/>
      <c r="G86" s="202"/>
      <c r="H86" s="202"/>
      <c r="I86" s="202"/>
      <c r="J86" s="202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</row>
    <row r="87" spans="1:24" x14ac:dyDescent="0.2">
      <c r="B87" s="202"/>
      <c r="C87" s="207"/>
      <c r="D87" s="209"/>
      <c r="E87" s="207"/>
      <c r="F87" s="202"/>
      <c r="G87" s="202"/>
      <c r="H87" s="202"/>
      <c r="I87" s="202"/>
      <c r="J87" s="202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</row>
    <row r="88" spans="1:24" x14ac:dyDescent="0.2">
      <c r="B88" s="202"/>
      <c r="C88" s="207"/>
      <c r="D88" s="209"/>
      <c r="E88" s="207"/>
      <c r="F88" s="202"/>
      <c r="G88" s="202"/>
      <c r="H88" s="202"/>
      <c r="I88" s="202"/>
      <c r="J88" s="202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</row>
    <row r="89" spans="1:24" x14ac:dyDescent="0.2">
      <c r="B89" s="202"/>
      <c r="C89" s="207"/>
      <c r="D89" s="209"/>
      <c r="E89" s="207"/>
      <c r="F89" s="202"/>
      <c r="G89" s="202"/>
      <c r="H89" s="202"/>
      <c r="I89" s="202"/>
      <c r="J89" s="202"/>
    </row>
    <row r="90" spans="1:24" x14ac:dyDescent="0.2">
      <c r="B90" s="202"/>
      <c r="C90" s="207"/>
      <c r="D90" s="209"/>
      <c r="E90" s="207"/>
      <c r="F90" s="202"/>
      <c r="G90" s="202"/>
      <c r="H90" s="202"/>
      <c r="I90" s="202"/>
      <c r="J90" s="202"/>
    </row>
    <row r="91" spans="1:24" x14ac:dyDescent="0.2">
      <c r="B91" s="202"/>
      <c r="C91" s="207"/>
      <c r="D91" s="209"/>
      <c r="E91" s="207"/>
      <c r="F91" s="202"/>
      <c r="G91" s="202"/>
      <c r="H91" s="202"/>
      <c r="I91" s="202"/>
      <c r="J91" s="202"/>
    </row>
    <row r="92" spans="1:24" x14ac:dyDescent="0.2">
      <c r="B92" s="202"/>
      <c r="C92" s="207"/>
      <c r="D92" s="209"/>
      <c r="E92" s="207"/>
      <c r="F92" s="202"/>
      <c r="G92" s="202"/>
      <c r="H92" s="202"/>
      <c r="I92" s="202"/>
      <c r="J92" s="202"/>
    </row>
    <row r="93" spans="1:24" x14ac:dyDescent="0.2">
      <c r="B93" s="202"/>
      <c r="C93" s="207"/>
      <c r="D93" s="209"/>
      <c r="E93" s="207"/>
      <c r="F93" s="202"/>
      <c r="G93" s="202"/>
      <c r="H93" s="202"/>
      <c r="I93" s="202"/>
      <c r="J93" s="202"/>
    </row>
    <row r="94" spans="1:24" x14ac:dyDescent="0.2">
      <c r="B94" s="202"/>
      <c r="C94" s="207"/>
      <c r="D94" s="209"/>
      <c r="E94" s="207"/>
      <c r="F94" s="202"/>
      <c r="G94" s="202"/>
      <c r="H94" s="202"/>
      <c r="I94" s="202"/>
      <c r="J94" s="202"/>
    </row>
    <row r="95" spans="1:24" x14ac:dyDescent="0.2">
      <c r="B95" s="202"/>
      <c r="C95" s="207"/>
      <c r="D95" s="209"/>
      <c r="E95" s="207"/>
      <c r="F95" s="202"/>
      <c r="G95" s="202"/>
      <c r="H95" s="202"/>
      <c r="I95" s="202"/>
      <c r="J95" s="202"/>
    </row>
    <row r="96" spans="1:24" x14ac:dyDescent="0.2">
      <c r="B96" s="202"/>
      <c r="C96" s="207"/>
      <c r="D96" s="209"/>
      <c r="E96" s="207"/>
      <c r="F96" s="202"/>
      <c r="G96" s="202"/>
      <c r="H96" s="202"/>
      <c r="I96" s="202"/>
      <c r="J96" s="202"/>
    </row>
    <row r="97" spans="2:10" x14ac:dyDescent="0.2">
      <c r="B97" s="202"/>
      <c r="C97" s="207"/>
      <c r="D97" s="209"/>
      <c r="E97" s="207"/>
      <c r="F97" s="202"/>
      <c r="G97" s="202"/>
      <c r="H97" s="202"/>
      <c r="I97" s="202"/>
      <c r="J97" s="202"/>
    </row>
    <row r="98" spans="2:10" x14ac:dyDescent="0.2">
      <c r="B98" s="202"/>
      <c r="C98" s="207"/>
      <c r="D98" s="209"/>
      <c r="E98" s="207"/>
      <c r="F98" s="202"/>
      <c r="G98" s="202"/>
      <c r="H98" s="202"/>
      <c r="I98" s="202"/>
      <c r="J98" s="202"/>
    </row>
    <row r="99" spans="2:10" x14ac:dyDescent="0.2">
      <c r="B99" s="202"/>
      <c r="C99" s="207"/>
      <c r="D99" s="209"/>
      <c r="E99" s="207"/>
      <c r="F99" s="202"/>
      <c r="G99" s="202"/>
      <c r="H99" s="202"/>
      <c r="I99" s="202"/>
      <c r="J99" s="202"/>
    </row>
    <row r="100" spans="2:10" x14ac:dyDescent="0.2">
      <c r="B100" s="202"/>
      <c r="C100" s="207"/>
      <c r="D100" s="209"/>
      <c r="E100" s="207"/>
      <c r="F100" s="202"/>
      <c r="G100" s="202"/>
      <c r="H100" s="202"/>
      <c r="I100" s="202"/>
      <c r="J100" s="202"/>
    </row>
    <row r="101" spans="2:10" x14ac:dyDescent="0.2">
      <c r="B101" s="202"/>
      <c r="C101" s="207"/>
      <c r="D101" s="209"/>
      <c r="E101" s="207"/>
      <c r="F101" s="202"/>
      <c r="G101" s="202"/>
      <c r="H101" s="202"/>
      <c r="I101" s="202"/>
      <c r="J101" s="202"/>
    </row>
    <row r="102" spans="2:10" x14ac:dyDescent="0.2">
      <c r="B102" s="202"/>
      <c r="C102" s="207"/>
      <c r="D102" s="209"/>
      <c r="E102" s="207"/>
      <c r="F102" s="202"/>
      <c r="G102" s="202"/>
      <c r="H102" s="202"/>
      <c r="I102" s="202"/>
      <c r="J102" s="202"/>
    </row>
    <row r="103" spans="2:10" x14ac:dyDescent="0.2">
      <c r="B103" s="202"/>
      <c r="C103" s="207"/>
      <c r="D103" s="209"/>
      <c r="E103" s="207"/>
      <c r="F103" s="202"/>
      <c r="G103" s="202"/>
      <c r="H103" s="202"/>
      <c r="I103" s="202"/>
      <c r="J103" s="202"/>
    </row>
    <row r="104" spans="2:10" x14ac:dyDescent="0.2">
      <c r="B104" s="202"/>
      <c r="C104" s="207"/>
      <c r="D104" s="209"/>
      <c r="E104" s="207"/>
      <c r="F104" s="202"/>
      <c r="G104" s="202"/>
      <c r="H104" s="202"/>
      <c r="I104" s="202"/>
      <c r="J104" s="202"/>
    </row>
    <row r="105" spans="2:10" x14ac:dyDescent="0.2">
      <c r="B105" s="202"/>
      <c r="C105" s="207"/>
      <c r="D105" s="209"/>
      <c r="E105" s="207"/>
      <c r="F105" s="202"/>
      <c r="G105" s="202"/>
      <c r="H105" s="202"/>
      <c r="I105" s="202"/>
      <c r="J105" s="202"/>
    </row>
    <row r="106" spans="2:10" x14ac:dyDescent="0.2">
      <c r="B106" s="202"/>
      <c r="C106" s="207"/>
      <c r="D106" s="209"/>
      <c r="E106" s="207"/>
      <c r="F106" s="202"/>
      <c r="G106" s="202"/>
      <c r="H106" s="202"/>
      <c r="I106" s="202"/>
      <c r="J106" s="202"/>
    </row>
    <row r="107" spans="2:10" x14ac:dyDescent="0.2">
      <c r="B107" s="202"/>
      <c r="C107" s="207"/>
      <c r="D107" s="209"/>
      <c r="E107" s="207"/>
      <c r="F107" s="202"/>
      <c r="G107" s="202"/>
      <c r="H107" s="202"/>
      <c r="I107" s="202"/>
      <c r="J107" s="202"/>
    </row>
    <row r="108" spans="2:10" x14ac:dyDescent="0.2">
      <c r="B108" s="202"/>
      <c r="C108" s="207"/>
      <c r="D108" s="209"/>
      <c r="E108" s="207"/>
      <c r="F108" s="202"/>
      <c r="G108" s="202"/>
      <c r="H108" s="202"/>
      <c r="I108" s="202"/>
      <c r="J108" s="202"/>
    </row>
    <row r="109" spans="2:10" x14ac:dyDescent="0.2">
      <c r="B109" s="202"/>
      <c r="C109" s="207"/>
      <c r="D109" s="209"/>
      <c r="E109" s="207"/>
      <c r="F109" s="202"/>
      <c r="G109" s="202"/>
      <c r="H109" s="202"/>
      <c r="I109" s="202"/>
      <c r="J109" s="202"/>
    </row>
    <row r="110" spans="2:10" x14ac:dyDescent="0.2">
      <c r="B110" s="202"/>
      <c r="C110" s="207"/>
      <c r="D110" s="209"/>
      <c r="E110" s="207"/>
      <c r="F110" s="202"/>
      <c r="G110" s="202"/>
      <c r="H110" s="202"/>
      <c r="I110" s="202"/>
      <c r="J110" s="202"/>
    </row>
    <row r="111" spans="2:10" s="202" customFormat="1" x14ac:dyDescent="0.2">
      <c r="C111" s="207"/>
      <c r="D111" s="209"/>
      <c r="E111" s="207"/>
    </row>
    <row r="112" spans="2:10" s="202" customFormat="1" x14ac:dyDescent="0.2">
      <c r="C112" s="207"/>
      <c r="D112" s="209"/>
      <c r="E112" s="207"/>
    </row>
    <row r="113" spans="3:5" s="202" customFormat="1" x14ac:dyDescent="0.2">
      <c r="C113" s="207"/>
      <c r="D113" s="209"/>
      <c r="E113" s="207"/>
    </row>
    <row r="114" spans="3:5" s="202" customFormat="1" x14ac:dyDescent="0.2">
      <c r="C114" s="207"/>
      <c r="D114" s="209"/>
      <c r="E114" s="207"/>
    </row>
    <row r="115" spans="3:5" s="202" customFormat="1" x14ac:dyDescent="0.2">
      <c r="C115" s="207"/>
      <c r="D115" s="209"/>
      <c r="E115" s="207"/>
    </row>
    <row r="116" spans="3:5" s="202" customFormat="1" x14ac:dyDescent="0.2">
      <c r="C116" s="207"/>
      <c r="D116" s="209"/>
      <c r="E116" s="207"/>
    </row>
    <row r="117" spans="3:5" s="202" customFormat="1" x14ac:dyDescent="0.2">
      <c r="C117" s="207"/>
      <c r="D117" s="209"/>
      <c r="E117" s="207"/>
    </row>
    <row r="118" spans="3:5" s="202" customFormat="1" x14ac:dyDescent="0.2">
      <c r="C118" s="207"/>
      <c r="D118" s="209"/>
      <c r="E118" s="207"/>
    </row>
    <row r="119" spans="3:5" s="202" customFormat="1" x14ac:dyDescent="0.2">
      <c r="C119" s="207"/>
      <c r="D119" s="209"/>
      <c r="E119" s="207"/>
    </row>
    <row r="120" spans="3:5" s="202" customFormat="1" x14ac:dyDescent="0.2">
      <c r="C120" s="207"/>
      <c r="D120" s="209"/>
      <c r="E120" s="207"/>
    </row>
    <row r="121" spans="3:5" s="202" customFormat="1" x14ac:dyDescent="0.2">
      <c r="C121" s="207"/>
      <c r="D121" s="209"/>
      <c r="E121" s="207"/>
    </row>
    <row r="122" spans="3:5" s="202" customFormat="1" x14ac:dyDescent="0.2">
      <c r="C122" s="207"/>
      <c r="D122" s="209"/>
      <c r="E122" s="207"/>
    </row>
    <row r="123" spans="3:5" s="202" customFormat="1" x14ac:dyDescent="0.2">
      <c r="C123" s="207"/>
      <c r="D123" s="209"/>
      <c r="E123" s="207"/>
    </row>
    <row r="124" spans="3:5" s="202" customFormat="1" x14ac:dyDescent="0.2">
      <c r="C124" s="207"/>
      <c r="D124" s="209"/>
      <c r="E124" s="207"/>
    </row>
    <row r="125" spans="3:5" s="202" customFormat="1" x14ac:dyDescent="0.2">
      <c r="C125" s="207"/>
      <c r="D125" s="209"/>
      <c r="E125" s="207"/>
    </row>
    <row r="126" spans="3:5" s="202" customFormat="1" x14ac:dyDescent="0.2">
      <c r="C126" s="207"/>
      <c r="D126" s="209"/>
      <c r="E126" s="207"/>
    </row>
    <row r="127" spans="3:5" s="202" customFormat="1" x14ac:dyDescent="0.2">
      <c r="C127" s="207"/>
      <c r="D127" s="209"/>
      <c r="E127" s="207"/>
    </row>
    <row r="128" spans="3:5" s="202" customFormat="1" x14ac:dyDescent="0.2">
      <c r="C128" s="207"/>
      <c r="D128" s="209"/>
      <c r="E128" s="207"/>
    </row>
    <row r="129" spans="3:5" s="202" customFormat="1" x14ac:dyDescent="0.2">
      <c r="C129" s="207"/>
      <c r="D129" s="209"/>
      <c r="E129" s="207"/>
    </row>
    <row r="130" spans="3:5" s="202" customFormat="1" x14ac:dyDescent="0.2">
      <c r="C130" s="207"/>
      <c r="D130" s="209"/>
      <c r="E130" s="207"/>
    </row>
    <row r="131" spans="3:5" s="202" customFormat="1" x14ac:dyDescent="0.2">
      <c r="C131" s="207"/>
      <c r="D131" s="209"/>
      <c r="E131" s="207"/>
    </row>
    <row r="132" spans="3:5" s="202" customFormat="1" x14ac:dyDescent="0.2">
      <c r="C132" s="207"/>
      <c r="D132" s="209"/>
      <c r="E132" s="207"/>
    </row>
    <row r="133" spans="3:5" s="202" customFormat="1" x14ac:dyDescent="0.2">
      <c r="C133" s="207"/>
      <c r="D133" s="209"/>
      <c r="E133" s="207"/>
    </row>
    <row r="134" spans="3:5" s="202" customFormat="1" x14ac:dyDescent="0.2">
      <c r="C134" s="207"/>
      <c r="D134" s="209"/>
      <c r="E134" s="207"/>
    </row>
    <row r="135" spans="3:5" s="202" customFormat="1" x14ac:dyDescent="0.2">
      <c r="C135" s="207"/>
      <c r="D135" s="209"/>
      <c r="E135" s="207"/>
    </row>
    <row r="136" spans="3:5" s="202" customFormat="1" x14ac:dyDescent="0.2">
      <c r="C136" s="207"/>
      <c r="D136" s="209"/>
      <c r="E136" s="207"/>
    </row>
    <row r="137" spans="3:5" s="202" customFormat="1" x14ac:dyDescent="0.2">
      <c r="C137" s="207"/>
      <c r="D137" s="209"/>
      <c r="E137" s="207"/>
    </row>
    <row r="138" spans="3:5" s="202" customFormat="1" x14ac:dyDescent="0.2">
      <c r="C138" s="207"/>
      <c r="D138" s="209"/>
      <c r="E138" s="207"/>
    </row>
    <row r="139" spans="3:5" s="202" customFormat="1" x14ac:dyDescent="0.2">
      <c r="C139" s="207"/>
      <c r="D139" s="209"/>
      <c r="E139" s="207"/>
    </row>
    <row r="140" spans="3:5" s="202" customFormat="1" x14ac:dyDescent="0.2">
      <c r="C140" s="207"/>
      <c r="D140" s="209"/>
      <c r="E140" s="207"/>
    </row>
    <row r="141" spans="3:5" s="202" customFormat="1" x14ac:dyDescent="0.2">
      <c r="C141" s="207"/>
      <c r="D141" s="209"/>
      <c r="E141" s="207"/>
    </row>
    <row r="142" spans="3:5" s="202" customFormat="1" x14ac:dyDescent="0.2">
      <c r="C142" s="207"/>
      <c r="D142" s="209"/>
      <c r="E142" s="207"/>
    </row>
    <row r="143" spans="3:5" s="202" customFormat="1" x14ac:dyDescent="0.2">
      <c r="C143" s="207"/>
      <c r="D143" s="209"/>
      <c r="E143" s="207"/>
    </row>
    <row r="144" spans="3:5" s="202" customFormat="1" x14ac:dyDescent="0.2">
      <c r="C144" s="207"/>
      <c r="D144" s="209"/>
      <c r="E144" s="207"/>
    </row>
    <row r="145" spans="3:5" s="202" customFormat="1" x14ac:dyDescent="0.2">
      <c r="C145" s="207"/>
      <c r="D145" s="209"/>
      <c r="E145" s="207"/>
    </row>
    <row r="146" spans="3:5" s="202" customFormat="1" x14ac:dyDescent="0.2">
      <c r="C146" s="207"/>
      <c r="D146" s="209"/>
      <c r="E146" s="207"/>
    </row>
    <row r="147" spans="3:5" s="202" customFormat="1" x14ac:dyDescent="0.2">
      <c r="C147" s="207"/>
      <c r="D147" s="209"/>
      <c r="E147" s="207"/>
    </row>
    <row r="148" spans="3:5" s="202" customFormat="1" x14ac:dyDescent="0.2">
      <c r="C148" s="207"/>
      <c r="D148" s="209"/>
      <c r="E148" s="207"/>
    </row>
    <row r="149" spans="3:5" s="202" customFormat="1" x14ac:dyDescent="0.2">
      <c r="C149" s="207"/>
      <c r="D149" s="209"/>
      <c r="E149" s="207"/>
    </row>
    <row r="150" spans="3:5" s="202" customFormat="1" x14ac:dyDescent="0.2">
      <c r="C150" s="207"/>
      <c r="D150" s="209"/>
      <c r="E150" s="207"/>
    </row>
    <row r="151" spans="3:5" s="202" customFormat="1" x14ac:dyDescent="0.2">
      <c r="C151" s="207"/>
      <c r="D151" s="209"/>
      <c r="E151" s="207"/>
    </row>
    <row r="152" spans="3:5" s="202" customFormat="1" x14ac:dyDescent="0.2">
      <c r="C152" s="207"/>
      <c r="D152" s="209"/>
      <c r="E152" s="207"/>
    </row>
    <row r="153" spans="3:5" s="202" customFormat="1" x14ac:dyDescent="0.2">
      <c r="C153" s="207"/>
      <c r="D153" s="209"/>
      <c r="E153" s="207"/>
    </row>
    <row r="154" spans="3:5" s="202" customFormat="1" x14ac:dyDescent="0.2">
      <c r="C154" s="207"/>
      <c r="D154" s="209"/>
      <c r="E154" s="207"/>
    </row>
    <row r="155" spans="3:5" s="202" customFormat="1" x14ac:dyDescent="0.2">
      <c r="C155" s="207"/>
      <c r="D155" s="209"/>
      <c r="E155" s="207"/>
    </row>
    <row r="156" spans="3:5" s="202" customFormat="1" x14ac:dyDescent="0.2">
      <c r="C156" s="207"/>
      <c r="D156" s="209"/>
      <c r="E156" s="207"/>
    </row>
    <row r="157" spans="3:5" s="202" customFormat="1" x14ac:dyDescent="0.2">
      <c r="C157" s="207"/>
      <c r="D157" s="209"/>
      <c r="E157" s="207"/>
    </row>
    <row r="158" spans="3:5" s="202" customFormat="1" x14ac:dyDescent="0.2">
      <c r="C158" s="207"/>
      <c r="D158" s="209"/>
      <c r="E158" s="207"/>
    </row>
    <row r="159" spans="3:5" s="202" customFormat="1" x14ac:dyDescent="0.2">
      <c r="C159" s="207"/>
      <c r="D159" s="209"/>
      <c r="E159" s="207"/>
    </row>
    <row r="160" spans="3:5" s="202" customFormat="1" x14ac:dyDescent="0.2">
      <c r="C160" s="207"/>
      <c r="D160" s="209"/>
      <c r="E160" s="207"/>
    </row>
    <row r="161" spans="3:5" s="202" customFormat="1" x14ac:dyDescent="0.2">
      <c r="C161" s="207"/>
      <c r="D161" s="209"/>
      <c r="E161" s="207"/>
    </row>
    <row r="162" spans="3:5" s="202" customFormat="1" x14ac:dyDescent="0.2">
      <c r="C162" s="207"/>
      <c r="D162" s="209"/>
      <c r="E162" s="207"/>
    </row>
    <row r="163" spans="3:5" s="202" customFormat="1" x14ac:dyDescent="0.2">
      <c r="C163" s="207"/>
      <c r="D163" s="209"/>
      <c r="E163" s="207"/>
    </row>
    <row r="164" spans="3:5" s="202" customFormat="1" x14ac:dyDescent="0.2">
      <c r="C164" s="207"/>
      <c r="D164" s="209"/>
      <c r="E164" s="207"/>
    </row>
    <row r="165" spans="3:5" s="202" customFormat="1" x14ac:dyDescent="0.2">
      <c r="C165" s="207"/>
      <c r="D165" s="209"/>
      <c r="E165" s="207"/>
    </row>
    <row r="166" spans="3:5" s="202" customFormat="1" x14ac:dyDescent="0.2">
      <c r="C166" s="207"/>
      <c r="D166" s="209"/>
      <c r="E166" s="207"/>
    </row>
    <row r="167" spans="3:5" s="202" customFormat="1" x14ac:dyDescent="0.2">
      <c r="C167" s="207"/>
      <c r="D167" s="209"/>
      <c r="E167" s="207"/>
    </row>
    <row r="168" spans="3:5" s="202" customFormat="1" x14ac:dyDescent="0.2">
      <c r="C168" s="207"/>
      <c r="D168" s="209"/>
      <c r="E168" s="207"/>
    </row>
    <row r="169" spans="3:5" s="202" customFormat="1" x14ac:dyDescent="0.2">
      <c r="C169" s="207"/>
      <c r="D169" s="209"/>
      <c r="E169" s="207"/>
    </row>
    <row r="170" spans="3:5" s="202" customFormat="1" x14ac:dyDescent="0.2">
      <c r="C170" s="207"/>
      <c r="D170" s="209"/>
      <c r="E170" s="207"/>
    </row>
    <row r="171" spans="3:5" s="202" customFormat="1" x14ac:dyDescent="0.2">
      <c r="C171" s="207"/>
      <c r="D171" s="209"/>
      <c r="E171" s="207"/>
    </row>
    <row r="172" spans="3:5" s="202" customFormat="1" x14ac:dyDescent="0.2">
      <c r="C172" s="207"/>
      <c r="D172" s="209"/>
      <c r="E172" s="207"/>
    </row>
    <row r="173" spans="3:5" s="202" customFormat="1" x14ac:dyDescent="0.2">
      <c r="C173" s="207"/>
      <c r="D173" s="209"/>
      <c r="E173" s="207"/>
    </row>
    <row r="174" spans="3:5" s="202" customFormat="1" x14ac:dyDescent="0.2">
      <c r="C174" s="207"/>
      <c r="D174" s="209"/>
      <c r="E174" s="207"/>
    </row>
    <row r="175" spans="3:5" s="202" customFormat="1" x14ac:dyDescent="0.2">
      <c r="C175" s="207"/>
      <c r="D175" s="209"/>
      <c r="E175" s="207"/>
    </row>
    <row r="176" spans="3:5" s="202" customFormat="1" x14ac:dyDescent="0.2">
      <c r="C176" s="207"/>
      <c r="D176" s="209"/>
      <c r="E176" s="207"/>
    </row>
    <row r="177" spans="3:5" s="202" customFormat="1" x14ac:dyDescent="0.2">
      <c r="C177" s="207"/>
      <c r="D177" s="209"/>
      <c r="E177" s="207"/>
    </row>
    <row r="178" spans="3:5" s="202" customFormat="1" x14ac:dyDescent="0.2">
      <c r="C178" s="207"/>
      <c r="D178" s="209"/>
      <c r="E178" s="207"/>
    </row>
    <row r="179" spans="3:5" s="202" customFormat="1" x14ac:dyDescent="0.2">
      <c r="C179" s="207"/>
      <c r="D179" s="209"/>
      <c r="E179" s="207"/>
    </row>
    <row r="180" spans="3:5" s="202" customFormat="1" x14ac:dyDescent="0.2">
      <c r="C180" s="207"/>
      <c r="D180" s="209"/>
      <c r="E180" s="207"/>
    </row>
    <row r="181" spans="3:5" s="202" customFormat="1" x14ac:dyDescent="0.2">
      <c r="C181" s="207"/>
      <c r="D181" s="209"/>
      <c r="E181" s="207"/>
    </row>
    <row r="182" spans="3:5" s="202" customFormat="1" x14ac:dyDescent="0.2">
      <c r="C182" s="207"/>
      <c r="D182" s="209"/>
      <c r="E182" s="207"/>
    </row>
    <row r="183" spans="3:5" s="202" customFormat="1" x14ac:dyDescent="0.2">
      <c r="C183" s="207"/>
      <c r="D183" s="209"/>
      <c r="E183" s="207"/>
    </row>
    <row r="184" spans="3:5" s="202" customFormat="1" x14ac:dyDescent="0.2">
      <c r="C184" s="207"/>
      <c r="D184" s="209"/>
      <c r="E184" s="207"/>
    </row>
    <row r="185" spans="3:5" s="202" customFormat="1" x14ac:dyDescent="0.2">
      <c r="C185" s="207"/>
      <c r="D185" s="209"/>
      <c r="E185" s="207"/>
    </row>
    <row r="186" spans="3:5" s="202" customFormat="1" x14ac:dyDescent="0.2">
      <c r="C186" s="207"/>
      <c r="D186" s="209"/>
      <c r="E186" s="207"/>
    </row>
    <row r="187" spans="3:5" s="202" customFormat="1" x14ac:dyDescent="0.2">
      <c r="C187" s="207"/>
      <c r="D187" s="209"/>
      <c r="E187" s="207"/>
    </row>
    <row r="188" spans="3:5" s="202" customFormat="1" x14ac:dyDescent="0.2">
      <c r="C188" s="207"/>
      <c r="D188" s="209"/>
      <c r="E188" s="207"/>
    </row>
    <row r="189" spans="3:5" s="202" customFormat="1" x14ac:dyDescent="0.2">
      <c r="C189" s="207"/>
      <c r="D189" s="209"/>
      <c r="E189" s="207"/>
    </row>
    <row r="190" spans="3:5" s="202" customFormat="1" x14ac:dyDescent="0.2">
      <c r="C190" s="207"/>
      <c r="D190" s="209"/>
      <c r="E190" s="207"/>
    </row>
    <row r="191" spans="3:5" s="202" customFormat="1" x14ac:dyDescent="0.2">
      <c r="C191" s="207"/>
      <c r="D191" s="209"/>
      <c r="E191" s="207"/>
    </row>
    <row r="192" spans="3:5" s="202" customFormat="1" x14ac:dyDescent="0.2">
      <c r="C192" s="207"/>
      <c r="D192" s="209"/>
      <c r="E192" s="207"/>
    </row>
    <row r="193" spans="3:5" s="202" customFormat="1" x14ac:dyDescent="0.2">
      <c r="C193" s="207"/>
      <c r="D193" s="209"/>
      <c r="E193" s="207"/>
    </row>
    <row r="194" spans="3:5" s="202" customFormat="1" x14ac:dyDescent="0.2">
      <c r="C194" s="207"/>
      <c r="D194" s="209"/>
      <c r="E194" s="207"/>
    </row>
    <row r="195" spans="3:5" s="202" customFormat="1" x14ac:dyDescent="0.2">
      <c r="C195" s="207"/>
      <c r="D195" s="209"/>
      <c r="E195" s="207"/>
    </row>
    <row r="196" spans="3:5" s="202" customFormat="1" x14ac:dyDescent="0.2">
      <c r="C196" s="207"/>
      <c r="D196" s="209"/>
      <c r="E196" s="207"/>
    </row>
    <row r="197" spans="3:5" s="202" customFormat="1" x14ac:dyDescent="0.2">
      <c r="C197" s="207"/>
      <c r="D197" s="209"/>
      <c r="E197" s="207"/>
    </row>
    <row r="198" spans="3:5" s="202" customFormat="1" x14ac:dyDescent="0.2">
      <c r="C198" s="207"/>
      <c r="D198" s="209"/>
      <c r="E198" s="207"/>
    </row>
    <row r="199" spans="3:5" s="202" customFormat="1" x14ac:dyDescent="0.2">
      <c r="C199" s="207"/>
      <c r="D199" s="209"/>
      <c r="E199" s="207"/>
    </row>
    <row r="200" spans="3:5" s="202" customFormat="1" x14ac:dyDescent="0.2">
      <c r="C200" s="207"/>
      <c r="D200" s="209"/>
      <c r="E200" s="207"/>
    </row>
    <row r="201" spans="3:5" s="202" customFormat="1" x14ac:dyDescent="0.2">
      <c r="C201" s="207"/>
      <c r="D201" s="209"/>
      <c r="E201" s="207"/>
    </row>
    <row r="202" spans="3:5" s="202" customFormat="1" x14ac:dyDescent="0.2">
      <c r="C202" s="207"/>
      <c r="D202" s="209"/>
      <c r="E202" s="207"/>
    </row>
    <row r="203" spans="3:5" s="202" customFormat="1" x14ac:dyDescent="0.2">
      <c r="C203" s="207"/>
      <c r="D203" s="209"/>
      <c r="E203" s="207"/>
    </row>
    <row r="204" spans="3:5" s="202" customFormat="1" x14ac:dyDescent="0.2">
      <c r="C204" s="207"/>
      <c r="D204" s="209"/>
      <c r="E204" s="207"/>
    </row>
    <row r="205" spans="3:5" s="202" customFormat="1" x14ac:dyDescent="0.2">
      <c r="C205" s="207"/>
      <c r="D205" s="209"/>
      <c r="E205" s="207"/>
    </row>
    <row r="206" spans="3:5" s="202" customFormat="1" x14ac:dyDescent="0.2">
      <c r="C206" s="207"/>
      <c r="D206" s="209"/>
      <c r="E206" s="207"/>
    </row>
    <row r="207" spans="3:5" s="202" customFormat="1" x14ac:dyDescent="0.2">
      <c r="C207" s="207"/>
      <c r="D207" s="209"/>
      <c r="E207" s="207"/>
    </row>
    <row r="208" spans="3:5" s="202" customFormat="1" x14ac:dyDescent="0.2">
      <c r="C208" s="207"/>
      <c r="D208" s="209"/>
      <c r="E208" s="207"/>
    </row>
    <row r="209" spans="3:5" s="202" customFormat="1" x14ac:dyDescent="0.2">
      <c r="C209" s="207"/>
      <c r="D209" s="209"/>
      <c r="E209" s="207"/>
    </row>
    <row r="210" spans="3:5" s="202" customFormat="1" x14ac:dyDescent="0.2">
      <c r="C210" s="207"/>
      <c r="D210" s="209"/>
      <c r="E210" s="207"/>
    </row>
    <row r="211" spans="3:5" s="202" customFormat="1" x14ac:dyDescent="0.2">
      <c r="C211" s="207"/>
      <c r="D211" s="209"/>
      <c r="E211" s="207"/>
    </row>
    <row r="212" spans="3:5" s="202" customFormat="1" x14ac:dyDescent="0.2">
      <c r="C212" s="207"/>
      <c r="D212" s="209"/>
      <c r="E212" s="207"/>
    </row>
    <row r="213" spans="3:5" s="202" customFormat="1" x14ac:dyDescent="0.2">
      <c r="C213" s="207"/>
      <c r="D213" s="209"/>
      <c r="E213" s="207"/>
    </row>
    <row r="214" spans="3:5" s="202" customFormat="1" x14ac:dyDescent="0.2">
      <c r="C214" s="207"/>
      <c r="D214" s="209"/>
      <c r="E214" s="207"/>
    </row>
    <row r="215" spans="3:5" s="202" customFormat="1" x14ac:dyDescent="0.2">
      <c r="C215" s="207"/>
      <c r="D215" s="209"/>
      <c r="E215" s="207"/>
    </row>
    <row r="216" spans="3:5" s="202" customFormat="1" x14ac:dyDescent="0.2">
      <c r="C216" s="207"/>
      <c r="D216" s="209"/>
      <c r="E216" s="207"/>
    </row>
    <row r="217" spans="3:5" s="202" customFormat="1" x14ac:dyDescent="0.2">
      <c r="C217" s="207"/>
      <c r="D217" s="209"/>
      <c r="E217" s="207"/>
    </row>
    <row r="218" spans="3:5" s="202" customFormat="1" x14ac:dyDescent="0.2">
      <c r="C218" s="207"/>
      <c r="D218" s="209"/>
      <c r="E218" s="207"/>
    </row>
    <row r="219" spans="3:5" s="202" customFormat="1" x14ac:dyDescent="0.2">
      <c r="C219" s="207"/>
      <c r="D219" s="209"/>
      <c r="E219" s="207"/>
    </row>
    <row r="220" spans="3:5" s="202" customFormat="1" x14ac:dyDescent="0.2">
      <c r="C220" s="207"/>
      <c r="D220" s="209"/>
      <c r="E220" s="207"/>
    </row>
    <row r="221" spans="3:5" s="202" customFormat="1" x14ac:dyDescent="0.2">
      <c r="C221" s="207"/>
      <c r="D221" s="209"/>
      <c r="E221" s="207"/>
    </row>
    <row r="222" spans="3:5" s="202" customFormat="1" x14ac:dyDescent="0.2">
      <c r="C222" s="207"/>
      <c r="D222" s="209"/>
      <c r="E222" s="207"/>
    </row>
    <row r="223" spans="3:5" s="202" customFormat="1" x14ac:dyDescent="0.2">
      <c r="C223" s="207"/>
      <c r="D223" s="209"/>
      <c r="E223" s="207"/>
    </row>
    <row r="224" spans="3:5" s="202" customFormat="1" x14ac:dyDescent="0.2">
      <c r="C224" s="207"/>
      <c r="D224" s="209"/>
      <c r="E224" s="207"/>
    </row>
    <row r="225" spans="3:5" s="202" customFormat="1" x14ac:dyDescent="0.2">
      <c r="C225" s="207"/>
      <c r="D225" s="209"/>
      <c r="E225" s="207"/>
    </row>
    <row r="226" spans="3:5" s="202" customFormat="1" x14ac:dyDescent="0.2">
      <c r="C226" s="207"/>
      <c r="D226" s="209"/>
      <c r="E226" s="207"/>
    </row>
    <row r="227" spans="3:5" s="202" customFormat="1" x14ac:dyDescent="0.2">
      <c r="C227" s="207"/>
      <c r="D227" s="209"/>
      <c r="E227" s="207"/>
    </row>
    <row r="228" spans="3:5" s="202" customFormat="1" x14ac:dyDescent="0.2">
      <c r="C228" s="207"/>
      <c r="D228" s="209"/>
      <c r="E228" s="207"/>
    </row>
    <row r="229" spans="3:5" s="202" customFormat="1" x14ac:dyDescent="0.2">
      <c r="C229" s="207"/>
      <c r="D229" s="209"/>
      <c r="E229" s="207"/>
    </row>
    <row r="230" spans="3:5" s="202" customFormat="1" x14ac:dyDescent="0.2">
      <c r="C230" s="207"/>
      <c r="D230" s="209"/>
      <c r="E230" s="207"/>
    </row>
    <row r="231" spans="3:5" s="202" customFormat="1" x14ac:dyDescent="0.2">
      <c r="C231" s="207"/>
      <c r="D231" s="209"/>
      <c r="E231" s="207"/>
    </row>
    <row r="232" spans="3:5" s="202" customFormat="1" x14ac:dyDescent="0.2">
      <c r="C232" s="207"/>
      <c r="D232" s="209"/>
      <c r="E232" s="207"/>
    </row>
    <row r="233" spans="3:5" s="202" customFormat="1" x14ac:dyDescent="0.2">
      <c r="C233" s="207"/>
      <c r="D233" s="209"/>
      <c r="E233" s="207"/>
    </row>
    <row r="234" spans="3:5" s="202" customFormat="1" x14ac:dyDescent="0.2">
      <c r="C234" s="207"/>
      <c r="D234" s="209"/>
      <c r="E234" s="207"/>
    </row>
    <row r="235" spans="3:5" s="202" customFormat="1" x14ac:dyDescent="0.2">
      <c r="C235" s="207"/>
      <c r="D235" s="209"/>
      <c r="E235" s="207"/>
    </row>
    <row r="236" spans="3:5" s="202" customFormat="1" x14ac:dyDescent="0.2">
      <c r="C236" s="207"/>
      <c r="D236" s="209"/>
      <c r="E236" s="207"/>
    </row>
    <row r="237" spans="3:5" s="202" customFormat="1" x14ac:dyDescent="0.2">
      <c r="C237" s="207"/>
      <c r="D237" s="209"/>
      <c r="E237" s="207"/>
    </row>
    <row r="238" spans="3:5" s="202" customFormat="1" x14ac:dyDescent="0.2">
      <c r="C238" s="207"/>
      <c r="D238" s="209"/>
      <c r="E238" s="207"/>
    </row>
    <row r="239" spans="3:5" s="202" customFormat="1" x14ac:dyDescent="0.2">
      <c r="C239" s="207"/>
      <c r="D239" s="209"/>
      <c r="E239" s="207"/>
    </row>
    <row r="240" spans="3:5" s="202" customFormat="1" x14ac:dyDescent="0.2">
      <c r="C240" s="207"/>
      <c r="D240" s="209"/>
      <c r="E240" s="207"/>
    </row>
    <row r="241" spans="3:5" s="202" customFormat="1" x14ac:dyDescent="0.2">
      <c r="C241" s="207"/>
      <c r="D241" s="209"/>
      <c r="E241" s="207"/>
    </row>
    <row r="242" spans="3:5" s="202" customFormat="1" x14ac:dyDescent="0.2">
      <c r="C242" s="207"/>
      <c r="D242" s="209"/>
      <c r="E242" s="207"/>
    </row>
    <row r="243" spans="3:5" s="202" customFormat="1" x14ac:dyDescent="0.2">
      <c r="C243" s="207"/>
      <c r="D243" s="209"/>
      <c r="E243" s="207"/>
    </row>
    <row r="244" spans="3:5" s="202" customFormat="1" x14ac:dyDescent="0.2">
      <c r="C244" s="207"/>
      <c r="D244" s="209"/>
      <c r="E244" s="207"/>
    </row>
    <row r="245" spans="3:5" s="202" customFormat="1" x14ac:dyDescent="0.2">
      <c r="C245" s="207"/>
      <c r="D245" s="209"/>
      <c r="E245" s="207"/>
    </row>
    <row r="246" spans="3:5" s="202" customFormat="1" x14ac:dyDescent="0.2">
      <c r="C246" s="207"/>
      <c r="D246" s="209"/>
      <c r="E246" s="207"/>
    </row>
    <row r="247" spans="3:5" s="202" customFormat="1" x14ac:dyDescent="0.2">
      <c r="C247" s="207"/>
      <c r="D247" s="209"/>
      <c r="E247" s="207"/>
    </row>
    <row r="248" spans="3:5" s="202" customFormat="1" x14ac:dyDescent="0.2">
      <c r="C248" s="207"/>
      <c r="D248" s="209"/>
      <c r="E248" s="207"/>
    </row>
    <row r="249" spans="3:5" s="202" customFormat="1" x14ac:dyDescent="0.2">
      <c r="C249" s="207"/>
      <c r="D249" s="209"/>
      <c r="E249" s="207"/>
    </row>
    <row r="250" spans="3:5" s="202" customFormat="1" x14ac:dyDescent="0.2">
      <c r="C250" s="207"/>
      <c r="D250" s="209"/>
      <c r="E250" s="207"/>
    </row>
    <row r="251" spans="3:5" s="202" customFormat="1" x14ac:dyDescent="0.2">
      <c r="C251" s="207"/>
      <c r="D251" s="209"/>
      <c r="E251" s="207"/>
    </row>
    <row r="252" spans="3:5" s="202" customFormat="1" x14ac:dyDescent="0.2">
      <c r="C252" s="207"/>
      <c r="D252" s="209"/>
      <c r="E252" s="207"/>
    </row>
    <row r="253" spans="3:5" s="202" customFormat="1" x14ac:dyDescent="0.2">
      <c r="C253" s="207"/>
      <c r="D253" s="209"/>
      <c r="E253" s="207"/>
    </row>
    <row r="254" spans="3:5" s="202" customFormat="1" x14ac:dyDescent="0.2">
      <c r="C254" s="207"/>
      <c r="D254" s="209"/>
      <c r="E254" s="207"/>
    </row>
    <row r="255" spans="3:5" s="202" customFormat="1" x14ac:dyDescent="0.2">
      <c r="C255" s="207"/>
      <c r="D255" s="209"/>
      <c r="E255" s="207"/>
    </row>
    <row r="256" spans="3:5" s="202" customFormat="1" x14ac:dyDescent="0.2">
      <c r="C256" s="207"/>
      <c r="D256" s="209"/>
      <c r="E256" s="207"/>
    </row>
    <row r="257" spans="3:5" s="202" customFormat="1" x14ac:dyDescent="0.2">
      <c r="C257" s="207"/>
      <c r="D257" s="209"/>
      <c r="E257" s="207"/>
    </row>
    <row r="258" spans="3:5" s="202" customFormat="1" x14ac:dyDescent="0.2">
      <c r="C258" s="207"/>
      <c r="D258" s="209"/>
      <c r="E258" s="207"/>
    </row>
    <row r="259" spans="3:5" s="202" customFormat="1" x14ac:dyDescent="0.2">
      <c r="C259" s="207"/>
      <c r="D259" s="209"/>
      <c r="E259" s="207"/>
    </row>
    <row r="260" spans="3:5" s="202" customFormat="1" x14ac:dyDescent="0.2">
      <c r="C260" s="207"/>
      <c r="D260" s="209"/>
      <c r="E260" s="207"/>
    </row>
    <row r="261" spans="3:5" s="202" customFormat="1" x14ac:dyDescent="0.2">
      <c r="C261" s="207"/>
      <c r="D261" s="209"/>
      <c r="E261" s="207"/>
    </row>
    <row r="262" spans="3:5" s="202" customFormat="1" x14ac:dyDescent="0.2">
      <c r="C262" s="207"/>
      <c r="D262" s="209"/>
      <c r="E262" s="207"/>
    </row>
    <row r="263" spans="3:5" s="202" customFormat="1" x14ac:dyDescent="0.2">
      <c r="C263" s="207"/>
      <c r="D263" s="209"/>
      <c r="E263" s="207"/>
    </row>
    <row r="264" spans="3:5" s="202" customFormat="1" x14ac:dyDescent="0.2">
      <c r="C264" s="207"/>
      <c r="D264" s="209"/>
      <c r="E264" s="207"/>
    </row>
    <row r="265" spans="3:5" s="202" customFormat="1" x14ac:dyDescent="0.2">
      <c r="C265" s="207"/>
      <c r="D265" s="209"/>
      <c r="E265" s="207"/>
    </row>
    <row r="266" spans="3:5" s="202" customFormat="1" x14ac:dyDescent="0.2">
      <c r="C266" s="207"/>
      <c r="D266" s="209"/>
      <c r="E266" s="207"/>
    </row>
    <row r="267" spans="3:5" s="202" customFormat="1" x14ac:dyDescent="0.2">
      <c r="C267" s="207"/>
      <c r="D267" s="209"/>
      <c r="E267" s="207"/>
    </row>
    <row r="268" spans="3:5" s="202" customFormat="1" x14ac:dyDescent="0.2">
      <c r="C268" s="207"/>
      <c r="D268" s="209"/>
      <c r="E268" s="207"/>
    </row>
    <row r="269" spans="3:5" s="202" customFormat="1" x14ac:dyDescent="0.2">
      <c r="C269" s="207"/>
      <c r="D269" s="209"/>
      <c r="E269" s="207"/>
    </row>
    <row r="270" spans="3:5" s="202" customFormat="1" x14ac:dyDescent="0.2">
      <c r="C270" s="207"/>
      <c r="D270" s="209"/>
      <c r="E270" s="207"/>
    </row>
    <row r="271" spans="3:5" s="202" customFormat="1" x14ac:dyDescent="0.2">
      <c r="C271" s="207"/>
      <c r="D271" s="209"/>
      <c r="E271" s="207"/>
    </row>
    <row r="272" spans="3:5" s="202" customFormat="1" x14ac:dyDescent="0.2">
      <c r="C272" s="207"/>
      <c r="D272" s="209"/>
      <c r="E272" s="207"/>
    </row>
    <row r="273" spans="3:5" s="202" customFormat="1" x14ac:dyDescent="0.2">
      <c r="C273" s="207"/>
      <c r="D273" s="209"/>
      <c r="E273" s="207"/>
    </row>
    <row r="274" spans="3:5" s="202" customFormat="1" x14ac:dyDescent="0.2">
      <c r="C274" s="207"/>
      <c r="D274" s="209"/>
      <c r="E274" s="207"/>
    </row>
    <row r="275" spans="3:5" s="202" customFormat="1" x14ac:dyDescent="0.2">
      <c r="C275" s="207"/>
      <c r="D275" s="209"/>
      <c r="E275" s="207"/>
    </row>
    <row r="276" spans="3:5" s="202" customFormat="1" x14ac:dyDescent="0.2">
      <c r="C276" s="207"/>
      <c r="D276" s="209"/>
      <c r="E276" s="207"/>
    </row>
    <row r="277" spans="3:5" s="202" customFormat="1" x14ac:dyDescent="0.2">
      <c r="C277" s="207"/>
      <c r="D277" s="209"/>
      <c r="E277" s="207"/>
    </row>
    <row r="278" spans="3:5" s="202" customFormat="1" x14ac:dyDescent="0.2">
      <c r="C278" s="207"/>
      <c r="D278" s="209"/>
      <c r="E278" s="207"/>
    </row>
    <row r="279" spans="3:5" s="202" customFormat="1" x14ac:dyDescent="0.2">
      <c r="C279" s="207"/>
      <c r="D279" s="209"/>
      <c r="E279" s="207"/>
    </row>
    <row r="280" spans="3:5" s="202" customFormat="1" x14ac:dyDescent="0.2">
      <c r="C280" s="207"/>
      <c r="D280" s="209"/>
      <c r="E280" s="207"/>
    </row>
    <row r="281" spans="3:5" s="202" customFormat="1" x14ac:dyDescent="0.2">
      <c r="C281" s="207"/>
      <c r="D281" s="209"/>
      <c r="E281" s="207"/>
    </row>
    <row r="282" spans="3:5" s="202" customFormat="1" x14ac:dyDescent="0.2">
      <c r="C282" s="207"/>
      <c r="D282" s="209"/>
      <c r="E282" s="207"/>
    </row>
    <row r="283" spans="3:5" s="202" customFormat="1" x14ac:dyDescent="0.2">
      <c r="C283" s="207"/>
      <c r="D283" s="209"/>
      <c r="E283" s="207"/>
    </row>
    <row r="284" spans="3:5" s="202" customFormat="1" x14ac:dyDescent="0.2">
      <c r="C284" s="207"/>
      <c r="D284" s="209"/>
      <c r="E284" s="207"/>
    </row>
    <row r="285" spans="3:5" s="202" customFormat="1" x14ac:dyDescent="0.2">
      <c r="C285" s="207"/>
      <c r="D285" s="209"/>
      <c r="E285" s="207"/>
    </row>
    <row r="286" spans="3:5" s="202" customFormat="1" x14ac:dyDescent="0.2">
      <c r="C286" s="207"/>
      <c r="D286" s="209"/>
      <c r="E286" s="207"/>
    </row>
    <row r="287" spans="3:5" s="202" customFormat="1" x14ac:dyDescent="0.2">
      <c r="C287" s="207"/>
      <c r="D287" s="209"/>
      <c r="E287" s="207"/>
    </row>
    <row r="288" spans="3:5" s="202" customFormat="1" x14ac:dyDescent="0.2">
      <c r="C288" s="207"/>
      <c r="D288" s="209"/>
      <c r="E288" s="207"/>
    </row>
    <row r="289" spans="3:5" s="202" customFormat="1" x14ac:dyDescent="0.2">
      <c r="C289" s="207"/>
      <c r="D289" s="209"/>
      <c r="E289" s="207"/>
    </row>
    <row r="290" spans="3:5" s="202" customFormat="1" x14ac:dyDescent="0.2">
      <c r="C290" s="207"/>
      <c r="D290" s="209"/>
      <c r="E290" s="207"/>
    </row>
    <row r="291" spans="3:5" s="202" customFormat="1" x14ac:dyDescent="0.2">
      <c r="C291" s="207"/>
      <c r="D291" s="209"/>
      <c r="E291" s="207"/>
    </row>
    <row r="292" spans="3:5" s="202" customFormat="1" x14ac:dyDescent="0.2">
      <c r="C292" s="207"/>
      <c r="D292" s="209"/>
      <c r="E292" s="207"/>
    </row>
    <row r="293" spans="3:5" s="202" customFormat="1" x14ac:dyDescent="0.2">
      <c r="C293" s="207"/>
      <c r="D293" s="209"/>
      <c r="E293" s="207"/>
    </row>
    <row r="294" spans="3:5" s="202" customFormat="1" x14ac:dyDescent="0.2">
      <c r="C294" s="207"/>
      <c r="D294" s="209"/>
      <c r="E294" s="207"/>
    </row>
    <row r="295" spans="3:5" s="202" customFormat="1" x14ac:dyDescent="0.2">
      <c r="C295" s="207"/>
      <c r="D295" s="209"/>
      <c r="E295" s="207"/>
    </row>
    <row r="296" spans="3:5" s="202" customFormat="1" x14ac:dyDescent="0.2">
      <c r="C296" s="207"/>
      <c r="D296" s="209"/>
      <c r="E296" s="207"/>
    </row>
    <row r="297" spans="3:5" s="202" customFormat="1" x14ac:dyDescent="0.2">
      <c r="C297" s="207"/>
      <c r="D297" s="209"/>
      <c r="E297" s="207"/>
    </row>
    <row r="298" spans="3:5" s="202" customFormat="1" x14ac:dyDescent="0.2">
      <c r="C298" s="207"/>
      <c r="D298" s="209"/>
      <c r="E298" s="207"/>
    </row>
    <row r="299" spans="3:5" s="202" customFormat="1" x14ac:dyDescent="0.2">
      <c r="C299" s="207"/>
      <c r="D299" s="209"/>
      <c r="E299" s="207"/>
    </row>
    <row r="300" spans="3:5" s="202" customFormat="1" x14ac:dyDescent="0.2">
      <c r="C300" s="207"/>
      <c r="D300" s="209"/>
      <c r="E300" s="207"/>
    </row>
    <row r="301" spans="3:5" s="202" customFormat="1" x14ac:dyDescent="0.2">
      <c r="C301" s="207"/>
      <c r="D301" s="209"/>
      <c r="E301" s="207"/>
    </row>
    <row r="302" spans="3:5" s="202" customFormat="1" x14ac:dyDescent="0.2">
      <c r="C302" s="207"/>
      <c r="D302" s="209"/>
      <c r="E302" s="207"/>
    </row>
    <row r="303" spans="3:5" s="202" customFormat="1" x14ac:dyDescent="0.2">
      <c r="C303" s="207"/>
      <c r="D303" s="209"/>
      <c r="E303" s="207"/>
    </row>
    <row r="304" spans="3:5" s="202" customFormat="1" x14ac:dyDescent="0.2">
      <c r="C304" s="207"/>
      <c r="D304" s="209"/>
      <c r="E304" s="207"/>
    </row>
    <row r="305" spans="3:5" s="202" customFormat="1" x14ac:dyDescent="0.2">
      <c r="C305" s="207"/>
      <c r="D305" s="209"/>
      <c r="E305" s="207"/>
    </row>
    <row r="306" spans="3:5" s="202" customFormat="1" x14ac:dyDescent="0.2">
      <c r="C306" s="207"/>
      <c r="D306" s="209"/>
      <c r="E306" s="207"/>
    </row>
    <row r="307" spans="3:5" s="202" customFormat="1" x14ac:dyDescent="0.2">
      <c r="C307" s="207"/>
      <c r="D307" s="209"/>
      <c r="E307" s="207"/>
    </row>
    <row r="308" spans="3:5" s="202" customFormat="1" x14ac:dyDescent="0.2">
      <c r="C308" s="207"/>
      <c r="D308" s="209"/>
      <c r="E308" s="207"/>
    </row>
    <row r="309" spans="3:5" s="202" customFormat="1" x14ac:dyDescent="0.2">
      <c r="C309" s="207"/>
      <c r="D309" s="209"/>
      <c r="E309" s="207"/>
    </row>
    <row r="310" spans="3:5" s="202" customFormat="1" x14ac:dyDescent="0.2">
      <c r="C310" s="207"/>
      <c r="D310" s="209"/>
      <c r="E310" s="207"/>
    </row>
    <row r="311" spans="3:5" s="202" customFormat="1" x14ac:dyDescent="0.2">
      <c r="C311" s="207"/>
      <c r="D311" s="209"/>
      <c r="E311" s="207"/>
    </row>
    <row r="312" spans="3:5" s="202" customFormat="1" x14ac:dyDescent="0.2">
      <c r="C312" s="207"/>
      <c r="D312" s="209"/>
      <c r="E312" s="207"/>
    </row>
    <row r="313" spans="3:5" s="202" customFormat="1" x14ac:dyDescent="0.2">
      <c r="C313" s="207"/>
      <c r="D313" s="209"/>
      <c r="E313" s="207"/>
    </row>
    <row r="314" spans="3:5" s="202" customFormat="1" x14ac:dyDescent="0.2">
      <c r="C314" s="207"/>
      <c r="D314" s="209"/>
      <c r="E314" s="207"/>
    </row>
    <row r="315" spans="3:5" s="202" customFormat="1" x14ac:dyDescent="0.2">
      <c r="C315" s="207"/>
      <c r="D315" s="209"/>
      <c r="E315" s="207"/>
    </row>
    <row r="316" spans="3:5" s="202" customFormat="1" x14ac:dyDescent="0.2">
      <c r="C316" s="207"/>
      <c r="D316" s="209"/>
      <c r="E316" s="207"/>
    </row>
    <row r="317" spans="3:5" s="202" customFormat="1" x14ac:dyDescent="0.2">
      <c r="C317" s="207"/>
      <c r="D317" s="209"/>
      <c r="E317" s="207"/>
    </row>
    <row r="318" spans="3:5" s="202" customFormat="1" x14ac:dyDescent="0.2">
      <c r="C318" s="207"/>
      <c r="D318" s="209"/>
      <c r="E318" s="207"/>
    </row>
    <row r="319" spans="3:5" s="202" customFormat="1" x14ac:dyDescent="0.2">
      <c r="C319" s="207"/>
      <c r="D319" s="209"/>
      <c r="E319" s="207"/>
    </row>
    <row r="320" spans="3:5" s="202" customFormat="1" x14ac:dyDescent="0.2">
      <c r="C320" s="207"/>
      <c r="D320" s="209"/>
      <c r="E320" s="207"/>
    </row>
    <row r="321" spans="3:5" s="202" customFormat="1" x14ac:dyDescent="0.2">
      <c r="C321" s="207"/>
      <c r="D321" s="209"/>
      <c r="E321" s="207"/>
    </row>
    <row r="322" spans="3:5" s="202" customFormat="1" x14ac:dyDescent="0.2">
      <c r="C322" s="207"/>
      <c r="D322" s="209"/>
      <c r="E322" s="207"/>
    </row>
    <row r="323" spans="3:5" s="202" customFormat="1" x14ac:dyDescent="0.2">
      <c r="C323" s="207"/>
      <c r="D323" s="209"/>
      <c r="E323" s="207"/>
    </row>
    <row r="324" spans="3:5" s="202" customFormat="1" x14ac:dyDescent="0.2">
      <c r="C324" s="207"/>
      <c r="D324" s="209"/>
      <c r="E324" s="207"/>
    </row>
    <row r="325" spans="3:5" s="202" customFormat="1" x14ac:dyDescent="0.2">
      <c r="C325" s="207"/>
      <c r="D325" s="209"/>
      <c r="E325" s="207"/>
    </row>
    <row r="326" spans="3:5" s="202" customFormat="1" x14ac:dyDescent="0.2">
      <c r="C326" s="207"/>
      <c r="D326" s="209"/>
      <c r="E326" s="207"/>
    </row>
    <row r="327" spans="3:5" s="202" customFormat="1" x14ac:dyDescent="0.2">
      <c r="C327" s="207"/>
      <c r="D327" s="209"/>
      <c r="E327" s="207"/>
    </row>
    <row r="328" spans="3:5" s="202" customFormat="1" x14ac:dyDescent="0.2">
      <c r="C328" s="207"/>
      <c r="D328" s="209"/>
      <c r="E328" s="207"/>
    </row>
    <row r="329" spans="3:5" s="202" customFormat="1" x14ac:dyDescent="0.2">
      <c r="C329" s="207"/>
      <c r="D329" s="209"/>
      <c r="E329" s="207"/>
    </row>
    <row r="330" spans="3:5" s="202" customFormat="1" x14ac:dyDescent="0.2">
      <c r="C330" s="207"/>
      <c r="D330" s="209"/>
      <c r="E330" s="207"/>
    </row>
    <row r="331" spans="3:5" s="202" customFormat="1" x14ac:dyDescent="0.2">
      <c r="C331" s="207"/>
      <c r="D331" s="209"/>
      <c r="E331" s="207"/>
    </row>
    <row r="332" spans="3:5" s="202" customFormat="1" x14ac:dyDescent="0.2">
      <c r="C332" s="207"/>
      <c r="D332" s="209"/>
      <c r="E332" s="207"/>
    </row>
    <row r="333" spans="3:5" s="202" customFormat="1" x14ac:dyDescent="0.2">
      <c r="C333" s="207"/>
      <c r="D333" s="209"/>
      <c r="E333" s="207"/>
    </row>
    <row r="334" spans="3:5" s="202" customFormat="1" x14ac:dyDescent="0.2">
      <c r="C334" s="207"/>
      <c r="D334" s="209"/>
      <c r="E334" s="207"/>
    </row>
    <row r="335" spans="3:5" s="202" customFormat="1" x14ac:dyDescent="0.2">
      <c r="C335" s="207"/>
      <c r="D335" s="209"/>
      <c r="E335" s="207"/>
    </row>
    <row r="336" spans="3:5" s="202" customFormat="1" x14ac:dyDescent="0.2">
      <c r="C336" s="207"/>
      <c r="D336" s="209"/>
      <c r="E336" s="207"/>
    </row>
    <row r="337" spans="3:5" s="202" customFormat="1" x14ac:dyDescent="0.2">
      <c r="C337" s="207"/>
      <c r="D337" s="209"/>
      <c r="E337" s="207"/>
    </row>
    <row r="338" spans="3:5" s="202" customFormat="1" x14ac:dyDescent="0.2">
      <c r="C338" s="207"/>
      <c r="D338" s="209"/>
      <c r="E338" s="207"/>
    </row>
    <row r="339" spans="3:5" s="202" customFormat="1" x14ac:dyDescent="0.2">
      <c r="C339" s="207"/>
      <c r="D339" s="209"/>
      <c r="E339" s="207"/>
    </row>
    <row r="340" spans="3:5" s="202" customFormat="1" x14ac:dyDescent="0.2">
      <c r="C340" s="207"/>
      <c r="D340" s="209"/>
      <c r="E340" s="207"/>
    </row>
    <row r="341" spans="3:5" s="202" customFormat="1" x14ac:dyDescent="0.2">
      <c r="C341" s="207"/>
      <c r="D341" s="209"/>
      <c r="E341" s="207"/>
    </row>
    <row r="342" spans="3:5" s="202" customFormat="1" x14ac:dyDescent="0.2">
      <c r="C342" s="207"/>
      <c r="D342" s="209"/>
      <c r="E342" s="207"/>
    </row>
    <row r="343" spans="3:5" s="202" customFormat="1" x14ac:dyDescent="0.2">
      <c r="C343" s="207"/>
      <c r="D343" s="209"/>
      <c r="E343" s="207"/>
    </row>
    <row r="344" spans="3:5" s="202" customFormat="1" x14ac:dyDescent="0.2">
      <c r="C344" s="207"/>
      <c r="D344" s="209"/>
      <c r="E344" s="207"/>
    </row>
    <row r="345" spans="3:5" s="202" customFormat="1" x14ac:dyDescent="0.2">
      <c r="C345" s="207"/>
      <c r="D345" s="209"/>
      <c r="E345" s="207"/>
    </row>
    <row r="346" spans="3:5" s="202" customFormat="1" x14ac:dyDescent="0.2">
      <c r="C346" s="207"/>
      <c r="D346" s="209"/>
      <c r="E346" s="207"/>
    </row>
    <row r="347" spans="3:5" s="202" customFormat="1" x14ac:dyDescent="0.2">
      <c r="C347" s="207"/>
      <c r="D347" s="209"/>
      <c r="E347" s="207"/>
    </row>
    <row r="348" spans="3:5" s="202" customFormat="1" x14ac:dyDescent="0.2">
      <c r="C348" s="207"/>
      <c r="D348" s="209"/>
      <c r="E348" s="207"/>
    </row>
    <row r="349" spans="3:5" s="202" customFormat="1" x14ac:dyDescent="0.2">
      <c r="C349" s="207"/>
      <c r="D349" s="209"/>
      <c r="E349" s="207"/>
    </row>
    <row r="350" spans="3:5" s="202" customFormat="1" x14ac:dyDescent="0.2">
      <c r="C350" s="207"/>
      <c r="D350" s="209"/>
      <c r="E350" s="207"/>
    </row>
    <row r="351" spans="3:5" s="202" customFormat="1" x14ac:dyDescent="0.2">
      <c r="C351" s="207"/>
      <c r="D351" s="209"/>
      <c r="E351" s="207"/>
    </row>
    <row r="352" spans="3:5" s="202" customFormat="1" x14ac:dyDescent="0.2">
      <c r="C352" s="207"/>
      <c r="D352" s="209"/>
      <c r="E352" s="207"/>
    </row>
    <row r="353" spans="3:5" s="202" customFormat="1" x14ac:dyDescent="0.2">
      <c r="C353" s="207"/>
      <c r="D353" s="209"/>
      <c r="E353" s="207"/>
    </row>
    <row r="354" spans="3:5" s="202" customFormat="1" x14ac:dyDescent="0.2">
      <c r="C354" s="207"/>
      <c r="D354" s="209"/>
      <c r="E354" s="207"/>
    </row>
    <row r="355" spans="3:5" s="202" customFormat="1" x14ac:dyDescent="0.2">
      <c r="C355" s="207"/>
      <c r="D355" s="209"/>
      <c r="E355" s="207"/>
    </row>
    <row r="356" spans="3:5" s="202" customFormat="1" x14ac:dyDescent="0.2">
      <c r="C356" s="207"/>
      <c r="D356" s="209"/>
      <c r="E356" s="207"/>
    </row>
    <row r="357" spans="3:5" s="202" customFormat="1" x14ac:dyDescent="0.2">
      <c r="C357" s="207"/>
      <c r="D357" s="209"/>
      <c r="E357" s="207"/>
    </row>
    <row r="358" spans="3:5" s="202" customFormat="1" x14ac:dyDescent="0.2">
      <c r="C358" s="207"/>
      <c r="D358" s="209"/>
      <c r="E358" s="207"/>
    </row>
    <row r="359" spans="3:5" s="202" customFormat="1" x14ac:dyDescent="0.2">
      <c r="C359" s="207"/>
      <c r="D359" s="209"/>
      <c r="E359" s="207"/>
    </row>
    <row r="360" spans="3:5" s="202" customFormat="1" x14ac:dyDescent="0.2">
      <c r="C360" s="207"/>
      <c r="D360" s="209"/>
      <c r="E360" s="207"/>
    </row>
    <row r="361" spans="3:5" s="202" customFormat="1" x14ac:dyDescent="0.2">
      <c r="C361" s="207"/>
      <c r="D361" s="209"/>
      <c r="E361" s="207"/>
    </row>
    <row r="362" spans="3:5" s="202" customFormat="1" x14ac:dyDescent="0.2">
      <c r="C362" s="207"/>
      <c r="D362" s="209"/>
      <c r="E362" s="207"/>
    </row>
    <row r="363" spans="3:5" s="202" customFormat="1" x14ac:dyDescent="0.2">
      <c r="C363" s="207"/>
      <c r="D363" s="209"/>
      <c r="E363" s="207"/>
    </row>
    <row r="364" spans="3:5" s="202" customFormat="1" x14ac:dyDescent="0.2">
      <c r="C364" s="207"/>
      <c r="D364" s="209"/>
      <c r="E364" s="207"/>
    </row>
    <row r="365" spans="3:5" s="202" customFormat="1" x14ac:dyDescent="0.2">
      <c r="C365" s="207"/>
      <c r="D365" s="209"/>
      <c r="E365" s="207"/>
    </row>
    <row r="366" spans="3:5" s="202" customFormat="1" x14ac:dyDescent="0.2">
      <c r="C366" s="207"/>
      <c r="D366" s="209"/>
      <c r="E366" s="207"/>
    </row>
    <row r="367" spans="3:5" s="202" customFormat="1" x14ac:dyDescent="0.2">
      <c r="C367" s="207"/>
      <c r="D367" s="209"/>
      <c r="E367" s="207"/>
    </row>
    <row r="368" spans="3:5" s="202" customFormat="1" x14ac:dyDescent="0.2">
      <c r="C368" s="207"/>
      <c r="D368" s="209"/>
      <c r="E368" s="207"/>
    </row>
    <row r="369" spans="3:5" s="202" customFormat="1" x14ac:dyDescent="0.2">
      <c r="C369" s="207"/>
      <c r="D369" s="209"/>
      <c r="E369" s="207"/>
    </row>
    <row r="370" spans="3:5" s="202" customFormat="1" x14ac:dyDescent="0.2">
      <c r="C370" s="207"/>
      <c r="D370" s="209"/>
      <c r="E370" s="207"/>
    </row>
    <row r="371" spans="3:5" s="202" customFormat="1" x14ac:dyDescent="0.2">
      <c r="C371" s="207"/>
      <c r="D371" s="209"/>
      <c r="E371" s="207"/>
    </row>
    <row r="372" spans="3:5" s="202" customFormat="1" x14ac:dyDescent="0.2">
      <c r="C372" s="207"/>
      <c r="D372" s="209"/>
      <c r="E372" s="207"/>
    </row>
    <row r="373" spans="3:5" s="202" customFormat="1" x14ac:dyDescent="0.2">
      <c r="C373" s="207"/>
      <c r="D373" s="209"/>
      <c r="E373" s="207"/>
    </row>
    <row r="374" spans="3:5" s="202" customFormat="1" x14ac:dyDescent="0.2">
      <c r="C374" s="207"/>
      <c r="D374" s="209"/>
      <c r="E374" s="207"/>
    </row>
    <row r="375" spans="3:5" s="202" customFormat="1" x14ac:dyDescent="0.2">
      <c r="C375" s="207"/>
      <c r="D375" s="209"/>
      <c r="E375" s="207"/>
    </row>
    <row r="376" spans="3:5" s="202" customFormat="1" x14ac:dyDescent="0.2">
      <c r="C376" s="207"/>
      <c r="D376" s="209"/>
      <c r="E376" s="207"/>
    </row>
    <row r="377" spans="3:5" s="202" customFormat="1" x14ac:dyDescent="0.2">
      <c r="C377" s="207"/>
      <c r="D377" s="209"/>
      <c r="E377" s="207"/>
    </row>
    <row r="378" spans="3:5" s="202" customFormat="1" x14ac:dyDescent="0.2">
      <c r="C378" s="207"/>
      <c r="D378" s="209"/>
      <c r="E378" s="207"/>
    </row>
    <row r="379" spans="3:5" s="202" customFormat="1" x14ac:dyDescent="0.2">
      <c r="C379" s="207"/>
      <c r="D379" s="209"/>
      <c r="E379" s="207"/>
    </row>
    <row r="380" spans="3:5" s="202" customFormat="1" x14ac:dyDescent="0.2">
      <c r="C380" s="207"/>
      <c r="D380" s="209"/>
      <c r="E380" s="207"/>
    </row>
    <row r="381" spans="3:5" s="202" customFormat="1" x14ac:dyDescent="0.2">
      <c r="C381" s="207"/>
      <c r="D381" s="209"/>
      <c r="E381" s="207"/>
    </row>
    <row r="382" spans="3:5" s="202" customFormat="1" x14ac:dyDescent="0.2">
      <c r="C382" s="207"/>
      <c r="D382" s="209"/>
      <c r="E382" s="207"/>
    </row>
    <row r="383" spans="3:5" s="202" customFormat="1" x14ac:dyDescent="0.2">
      <c r="C383" s="207"/>
      <c r="D383" s="209"/>
      <c r="E383" s="207"/>
    </row>
    <row r="384" spans="3:5" s="202" customFormat="1" x14ac:dyDescent="0.2">
      <c r="C384" s="207"/>
      <c r="D384" s="209"/>
      <c r="E384" s="207"/>
    </row>
    <row r="385" spans="3:5" s="202" customFormat="1" x14ac:dyDescent="0.2">
      <c r="C385" s="207"/>
      <c r="D385" s="209"/>
      <c r="E385" s="207"/>
    </row>
    <row r="386" spans="3:5" s="202" customFormat="1" x14ac:dyDescent="0.2">
      <c r="C386" s="207"/>
      <c r="D386" s="209"/>
      <c r="E386" s="207"/>
    </row>
    <row r="387" spans="3:5" s="202" customFormat="1" x14ac:dyDescent="0.2">
      <c r="C387" s="207"/>
      <c r="D387" s="209"/>
      <c r="E387" s="207"/>
    </row>
    <row r="388" spans="3:5" s="202" customFormat="1" x14ac:dyDescent="0.2">
      <c r="C388" s="207"/>
      <c r="D388" s="209"/>
      <c r="E388" s="207"/>
    </row>
    <row r="389" spans="3:5" s="202" customFormat="1" x14ac:dyDescent="0.2">
      <c r="C389" s="207"/>
      <c r="D389" s="209"/>
      <c r="E389" s="207"/>
    </row>
    <row r="390" spans="3:5" s="202" customFormat="1" x14ac:dyDescent="0.2">
      <c r="C390" s="207"/>
      <c r="D390" s="209"/>
      <c r="E390" s="207"/>
    </row>
    <row r="391" spans="3:5" s="202" customFormat="1" x14ac:dyDescent="0.2">
      <c r="C391" s="207"/>
      <c r="D391" s="209"/>
      <c r="E391" s="207"/>
    </row>
    <row r="392" spans="3:5" s="202" customFormat="1" x14ac:dyDescent="0.2">
      <c r="C392" s="207"/>
      <c r="D392" s="209"/>
      <c r="E392" s="207"/>
    </row>
    <row r="393" spans="3:5" s="202" customFormat="1" x14ac:dyDescent="0.2">
      <c r="C393" s="207"/>
      <c r="D393" s="209"/>
      <c r="E393" s="207"/>
    </row>
    <row r="394" spans="3:5" s="202" customFormat="1" x14ac:dyDescent="0.2">
      <c r="C394" s="207"/>
      <c r="D394" s="209"/>
      <c r="E394" s="207"/>
    </row>
    <row r="395" spans="3:5" s="202" customFormat="1" x14ac:dyDescent="0.2">
      <c r="C395" s="207"/>
      <c r="D395" s="209"/>
      <c r="E395" s="207"/>
    </row>
    <row r="396" spans="3:5" s="202" customFormat="1" x14ac:dyDescent="0.2">
      <c r="C396" s="207"/>
      <c r="D396" s="209"/>
      <c r="E396" s="207"/>
    </row>
    <row r="397" spans="3:5" s="202" customFormat="1" x14ac:dyDescent="0.2">
      <c r="C397" s="207"/>
      <c r="D397" s="209"/>
      <c r="E397" s="207"/>
    </row>
    <row r="398" spans="3:5" s="202" customFormat="1" x14ac:dyDescent="0.2">
      <c r="C398" s="207"/>
      <c r="D398" s="209"/>
      <c r="E398" s="207"/>
    </row>
    <row r="399" spans="3:5" s="202" customFormat="1" x14ac:dyDescent="0.2">
      <c r="C399" s="207"/>
      <c r="D399" s="209"/>
      <c r="E399" s="207"/>
    </row>
    <row r="400" spans="3:5" s="202" customFormat="1" x14ac:dyDescent="0.2">
      <c r="C400" s="207"/>
      <c r="D400" s="209"/>
      <c r="E400" s="207"/>
    </row>
    <row r="401" spans="3:5" s="202" customFormat="1" x14ac:dyDescent="0.2">
      <c r="C401" s="207"/>
      <c r="D401" s="209"/>
      <c r="E401" s="207"/>
    </row>
    <row r="402" spans="3:5" s="202" customFormat="1" x14ac:dyDescent="0.2">
      <c r="C402" s="207"/>
      <c r="D402" s="209"/>
      <c r="E402" s="207"/>
    </row>
    <row r="403" spans="3:5" s="202" customFormat="1" x14ac:dyDescent="0.2">
      <c r="C403" s="207"/>
      <c r="D403" s="209"/>
      <c r="E403" s="207"/>
    </row>
    <row r="404" spans="3:5" s="202" customFormat="1" x14ac:dyDescent="0.2">
      <c r="C404" s="207"/>
      <c r="D404" s="209"/>
      <c r="E404" s="207"/>
    </row>
    <row r="405" spans="3:5" s="202" customFormat="1" x14ac:dyDescent="0.2">
      <c r="C405" s="207"/>
      <c r="D405" s="209"/>
      <c r="E405" s="207"/>
    </row>
    <row r="406" spans="3:5" s="202" customFormat="1" x14ac:dyDescent="0.2">
      <c r="C406" s="207"/>
      <c r="D406" s="209"/>
      <c r="E406" s="207"/>
    </row>
    <row r="407" spans="3:5" s="202" customFormat="1" x14ac:dyDescent="0.2">
      <c r="C407" s="207"/>
      <c r="D407" s="209"/>
      <c r="E407" s="207"/>
    </row>
    <row r="408" spans="3:5" s="202" customFormat="1" x14ac:dyDescent="0.2">
      <c r="C408" s="207"/>
      <c r="D408" s="209"/>
      <c r="E408" s="207"/>
    </row>
    <row r="409" spans="3:5" s="202" customFormat="1" x14ac:dyDescent="0.2">
      <c r="C409" s="207"/>
      <c r="D409" s="209"/>
      <c r="E409" s="207"/>
    </row>
    <row r="410" spans="3:5" s="202" customFormat="1" x14ac:dyDescent="0.2">
      <c r="C410" s="207"/>
      <c r="D410" s="209"/>
      <c r="E410" s="207"/>
    </row>
    <row r="411" spans="3:5" s="202" customFormat="1" x14ac:dyDescent="0.2">
      <c r="C411" s="207"/>
      <c r="D411" s="209"/>
      <c r="E411" s="207"/>
    </row>
    <row r="412" spans="3:5" s="202" customFormat="1" x14ac:dyDescent="0.2">
      <c r="C412" s="207"/>
      <c r="D412" s="209"/>
      <c r="E412" s="207"/>
    </row>
    <row r="413" spans="3:5" s="202" customFormat="1" x14ac:dyDescent="0.2">
      <c r="C413" s="207"/>
      <c r="D413" s="209"/>
      <c r="E413" s="207"/>
    </row>
    <row r="414" spans="3:5" s="202" customFormat="1" x14ac:dyDescent="0.2">
      <c r="C414" s="207"/>
      <c r="D414" s="209"/>
      <c r="E414" s="207"/>
    </row>
    <row r="415" spans="3:5" s="202" customFormat="1" x14ac:dyDescent="0.2">
      <c r="C415" s="207"/>
      <c r="D415" s="209"/>
      <c r="E415" s="207"/>
    </row>
    <row r="416" spans="3:5" s="202" customFormat="1" x14ac:dyDescent="0.2">
      <c r="C416" s="207"/>
      <c r="D416" s="209"/>
      <c r="E416" s="207"/>
    </row>
    <row r="417" spans="3:5" s="202" customFormat="1" x14ac:dyDescent="0.2">
      <c r="C417" s="207"/>
      <c r="D417" s="209"/>
      <c r="E417" s="207"/>
    </row>
    <row r="418" spans="3:5" s="202" customFormat="1" x14ac:dyDescent="0.2">
      <c r="C418" s="207"/>
      <c r="D418" s="209"/>
      <c r="E418" s="207"/>
    </row>
    <row r="419" spans="3:5" s="202" customFormat="1" x14ac:dyDescent="0.2">
      <c r="C419" s="207"/>
      <c r="D419" s="209"/>
      <c r="E419" s="207"/>
    </row>
    <row r="420" spans="3:5" s="202" customFormat="1" x14ac:dyDescent="0.2">
      <c r="C420" s="207"/>
      <c r="D420" s="209"/>
      <c r="E420" s="207"/>
    </row>
    <row r="421" spans="3:5" s="202" customFormat="1" x14ac:dyDescent="0.2">
      <c r="C421" s="207"/>
      <c r="D421" s="209"/>
      <c r="E421" s="207"/>
    </row>
    <row r="422" spans="3:5" s="202" customFormat="1" x14ac:dyDescent="0.2">
      <c r="C422" s="207"/>
      <c r="D422" s="209"/>
      <c r="E422" s="207"/>
    </row>
    <row r="423" spans="3:5" s="202" customFormat="1" x14ac:dyDescent="0.2">
      <c r="C423" s="207"/>
      <c r="D423" s="209"/>
      <c r="E423" s="207"/>
    </row>
    <row r="424" spans="3:5" s="202" customFormat="1" x14ac:dyDescent="0.2">
      <c r="C424" s="207"/>
      <c r="D424" s="209"/>
      <c r="E424" s="207"/>
    </row>
    <row r="425" spans="3:5" s="202" customFormat="1" x14ac:dyDescent="0.2">
      <c r="C425" s="207"/>
      <c r="D425" s="209"/>
      <c r="E425" s="207"/>
    </row>
    <row r="426" spans="3:5" s="202" customFormat="1" x14ac:dyDescent="0.2">
      <c r="C426" s="207"/>
      <c r="D426" s="209"/>
      <c r="E426" s="207"/>
    </row>
    <row r="427" spans="3:5" s="202" customFormat="1" x14ac:dyDescent="0.2">
      <c r="C427" s="207"/>
      <c r="D427" s="209"/>
      <c r="E427" s="207"/>
    </row>
    <row r="428" spans="3:5" s="202" customFormat="1" x14ac:dyDescent="0.2">
      <c r="C428" s="207"/>
      <c r="D428" s="209"/>
      <c r="E428" s="207"/>
    </row>
    <row r="429" spans="3:5" s="202" customFormat="1" x14ac:dyDescent="0.2">
      <c r="C429" s="207"/>
      <c r="D429" s="209"/>
      <c r="E429" s="207"/>
    </row>
    <row r="430" spans="3:5" s="202" customFormat="1" x14ac:dyDescent="0.2">
      <c r="C430" s="207"/>
      <c r="D430" s="209"/>
      <c r="E430" s="207"/>
    </row>
    <row r="431" spans="3:5" s="202" customFormat="1" x14ac:dyDescent="0.2">
      <c r="C431" s="207"/>
      <c r="D431" s="209"/>
      <c r="E431" s="207"/>
    </row>
    <row r="432" spans="3:5" s="202" customFormat="1" x14ac:dyDescent="0.2">
      <c r="C432" s="207"/>
      <c r="D432" s="209"/>
      <c r="E432" s="207"/>
    </row>
    <row r="433" spans="3:5" s="202" customFormat="1" x14ac:dyDescent="0.2">
      <c r="C433" s="207"/>
      <c r="D433" s="209"/>
      <c r="E433" s="207"/>
    </row>
    <row r="434" spans="3:5" s="202" customFormat="1" x14ac:dyDescent="0.2">
      <c r="C434" s="207"/>
      <c r="D434" s="209"/>
      <c r="E434" s="207"/>
    </row>
    <row r="435" spans="3:5" s="202" customFormat="1" x14ac:dyDescent="0.2">
      <c r="C435" s="207"/>
      <c r="D435" s="209"/>
      <c r="E435" s="207"/>
    </row>
    <row r="436" spans="3:5" s="202" customFormat="1" x14ac:dyDescent="0.2">
      <c r="C436" s="207"/>
      <c r="D436" s="209"/>
      <c r="E436" s="207"/>
    </row>
    <row r="437" spans="3:5" s="202" customFormat="1" x14ac:dyDescent="0.2">
      <c r="C437" s="207"/>
      <c r="D437" s="209"/>
      <c r="E437" s="207"/>
    </row>
    <row r="438" spans="3:5" s="202" customFormat="1" x14ac:dyDescent="0.2">
      <c r="C438" s="207"/>
      <c r="D438" s="209"/>
      <c r="E438" s="207"/>
    </row>
    <row r="439" spans="3:5" s="202" customFormat="1" x14ac:dyDescent="0.2">
      <c r="C439" s="207"/>
      <c r="D439" s="209"/>
      <c r="E439" s="207"/>
    </row>
    <row r="440" spans="3:5" s="202" customFormat="1" x14ac:dyDescent="0.2">
      <c r="C440" s="207"/>
      <c r="D440" s="209"/>
      <c r="E440" s="207"/>
    </row>
    <row r="441" spans="3:5" s="202" customFormat="1" x14ac:dyDescent="0.2">
      <c r="C441" s="207"/>
      <c r="D441" s="209"/>
      <c r="E441" s="207"/>
    </row>
    <row r="442" spans="3:5" s="202" customFormat="1" x14ac:dyDescent="0.2">
      <c r="C442" s="207"/>
      <c r="D442" s="209"/>
      <c r="E442" s="207"/>
    </row>
    <row r="443" spans="3:5" s="202" customFormat="1" x14ac:dyDescent="0.2">
      <c r="C443" s="207"/>
      <c r="D443" s="209"/>
      <c r="E443" s="207"/>
    </row>
    <row r="444" spans="3:5" s="202" customFormat="1" x14ac:dyDescent="0.2">
      <c r="C444" s="207"/>
      <c r="D444" s="209"/>
      <c r="E444" s="207"/>
    </row>
    <row r="445" spans="3:5" s="202" customFormat="1" x14ac:dyDescent="0.2">
      <c r="C445" s="207"/>
      <c r="D445" s="209"/>
      <c r="E445" s="207"/>
    </row>
    <row r="446" spans="3:5" s="202" customFormat="1" x14ac:dyDescent="0.2">
      <c r="C446" s="207"/>
      <c r="D446" s="209"/>
      <c r="E446" s="207"/>
    </row>
    <row r="447" spans="3:5" s="202" customFormat="1" x14ac:dyDescent="0.2">
      <c r="C447" s="207"/>
      <c r="D447" s="209"/>
      <c r="E447" s="207"/>
    </row>
    <row r="448" spans="3:5" s="202" customFormat="1" x14ac:dyDescent="0.2">
      <c r="C448" s="207"/>
      <c r="D448" s="209"/>
      <c r="E448" s="207"/>
    </row>
    <row r="449" spans="3:5" s="202" customFormat="1" x14ac:dyDescent="0.2">
      <c r="C449" s="207"/>
      <c r="D449" s="209"/>
      <c r="E449" s="207"/>
    </row>
    <row r="450" spans="3:5" s="202" customFormat="1" x14ac:dyDescent="0.2">
      <c r="C450" s="207"/>
      <c r="D450" s="209"/>
      <c r="E450" s="207"/>
    </row>
    <row r="451" spans="3:5" s="202" customFormat="1" x14ac:dyDescent="0.2">
      <c r="C451" s="207"/>
      <c r="D451" s="209"/>
      <c r="E451" s="207"/>
    </row>
    <row r="452" spans="3:5" s="202" customFormat="1" x14ac:dyDescent="0.2">
      <c r="C452" s="207"/>
      <c r="D452" s="209"/>
      <c r="E452" s="207"/>
    </row>
    <row r="453" spans="3:5" s="202" customFormat="1" x14ac:dyDescent="0.2">
      <c r="C453" s="207"/>
      <c r="D453" s="209"/>
      <c r="E453" s="207"/>
    </row>
    <row r="454" spans="3:5" s="202" customFormat="1" x14ac:dyDescent="0.2">
      <c r="C454" s="207"/>
      <c r="D454" s="209"/>
      <c r="E454" s="207"/>
    </row>
    <row r="455" spans="3:5" s="202" customFormat="1" x14ac:dyDescent="0.2">
      <c r="C455" s="207"/>
      <c r="D455" s="209"/>
      <c r="E455" s="207"/>
    </row>
    <row r="456" spans="3:5" s="202" customFormat="1" x14ac:dyDescent="0.2">
      <c r="C456" s="207"/>
      <c r="D456" s="209"/>
      <c r="E456" s="207"/>
    </row>
    <row r="457" spans="3:5" s="202" customFormat="1" x14ac:dyDescent="0.2">
      <c r="C457" s="207"/>
      <c r="D457" s="209"/>
      <c r="E457" s="207"/>
    </row>
    <row r="458" spans="3:5" s="202" customFormat="1" x14ac:dyDescent="0.2">
      <c r="C458" s="207"/>
      <c r="D458" s="209"/>
      <c r="E458" s="207"/>
    </row>
    <row r="459" spans="3:5" s="202" customFormat="1" x14ac:dyDescent="0.2">
      <c r="C459" s="207"/>
      <c r="D459" s="209"/>
      <c r="E459" s="207"/>
    </row>
    <row r="460" spans="3:5" s="202" customFormat="1" x14ac:dyDescent="0.2">
      <c r="C460" s="207"/>
      <c r="D460" s="209"/>
      <c r="E460" s="207"/>
    </row>
    <row r="461" spans="3:5" s="202" customFormat="1" x14ac:dyDescent="0.2">
      <c r="C461" s="207"/>
      <c r="D461" s="209"/>
      <c r="E461" s="207"/>
    </row>
    <row r="462" spans="3:5" s="202" customFormat="1" x14ac:dyDescent="0.2">
      <c r="C462" s="207"/>
      <c r="D462" s="209"/>
      <c r="E462" s="207"/>
    </row>
    <row r="463" spans="3:5" s="202" customFormat="1" x14ac:dyDescent="0.2">
      <c r="C463" s="207"/>
      <c r="D463" s="209"/>
      <c r="E463" s="207"/>
    </row>
    <row r="464" spans="3:5" s="202" customFormat="1" x14ac:dyDescent="0.2">
      <c r="C464" s="207"/>
      <c r="D464" s="209"/>
      <c r="E464" s="207"/>
    </row>
    <row r="465" spans="3:5" s="202" customFormat="1" x14ac:dyDescent="0.2">
      <c r="C465" s="207"/>
      <c r="D465" s="209"/>
      <c r="E465" s="207"/>
    </row>
    <row r="466" spans="3:5" s="202" customFormat="1" x14ac:dyDescent="0.2">
      <c r="C466" s="207"/>
      <c r="D466" s="209"/>
      <c r="E466" s="207"/>
    </row>
    <row r="467" spans="3:5" s="202" customFormat="1" x14ac:dyDescent="0.2">
      <c r="C467" s="207"/>
      <c r="D467" s="209"/>
      <c r="E467" s="207"/>
    </row>
    <row r="468" spans="3:5" s="202" customFormat="1" x14ac:dyDescent="0.2">
      <c r="C468" s="207"/>
      <c r="D468" s="209"/>
      <c r="E468" s="207"/>
    </row>
    <row r="469" spans="3:5" s="202" customFormat="1" x14ac:dyDescent="0.2">
      <c r="C469" s="207"/>
      <c r="D469" s="209"/>
      <c r="E469" s="207"/>
    </row>
    <row r="470" spans="3:5" s="202" customFormat="1" x14ac:dyDescent="0.2">
      <c r="C470" s="207"/>
      <c r="D470" s="209"/>
      <c r="E470" s="207"/>
    </row>
    <row r="471" spans="3:5" s="202" customFormat="1" x14ac:dyDescent="0.2">
      <c r="C471" s="207"/>
      <c r="D471" s="209"/>
      <c r="E471" s="207"/>
    </row>
    <row r="472" spans="3:5" s="202" customFormat="1" x14ac:dyDescent="0.2">
      <c r="C472" s="207"/>
      <c r="D472" s="209"/>
      <c r="E472" s="207"/>
    </row>
    <row r="473" spans="3:5" s="202" customFormat="1" x14ac:dyDescent="0.2">
      <c r="C473" s="207"/>
      <c r="D473" s="209"/>
      <c r="E473" s="207"/>
    </row>
    <row r="474" spans="3:5" s="202" customFormat="1" x14ac:dyDescent="0.2">
      <c r="C474" s="207"/>
      <c r="D474" s="209"/>
      <c r="E474" s="207"/>
    </row>
    <row r="475" spans="3:5" s="202" customFormat="1" x14ac:dyDescent="0.2">
      <c r="C475" s="207"/>
      <c r="D475" s="209"/>
      <c r="E475" s="207"/>
    </row>
    <row r="476" spans="3:5" s="202" customFormat="1" x14ac:dyDescent="0.2">
      <c r="C476" s="207"/>
      <c r="D476" s="209"/>
      <c r="E476" s="207"/>
    </row>
    <row r="477" spans="3:5" s="202" customFormat="1" x14ac:dyDescent="0.2">
      <c r="C477" s="207"/>
      <c r="D477" s="209"/>
      <c r="E477" s="207"/>
    </row>
    <row r="478" spans="3:5" s="202" customFormat="1" x14ac:dyDescent="0.2">
      <c r="C478" s="207"/>
      <c r="D478" s="209"/>
      <c r="E478" s="207"/>
    </row>
    <row r="479" spans="3:5" s="202" customFormat="1" x14ac:dyDescent="0.2">
      <c r="C479" s="207"/>
      <c r="D479" s="209"/>
      <c r="E479" s="207"/>
    </row>
    <row r="480" spans="3:5" s="202" customFormat="1" x14ac:dyDescent="0.2">
      <c r="C480" s="207"/>
      <c r="D480" s="209"/>
      <c r="E480" s="207"/>
    </row>
    <row r="481" spans="3:5" s="202" customFormat="1" x14ac:dyDescent="0.2">
      <c r="C481" s="207"/>
      <c r="D481" s="209"/>
      <c r="E481" s="207"/>
    </row>
    <row r="482" spans="3:5" s="202" customFormat="1" x14ac:dyDescent="0.2">
      <c r="C482" s="207"/>
      <c r="D482" s="209"/>
      <c r="E482" s="207"/>
    </row>
    <row r="483" spans="3:5" s="202" customFormat="1" x14ac:dyDescent="0.2">
      <c r="C483" s="207"/>
      <c r="D483" s="209"/>
      <c r="E483" s="207"/>
    </row>
    <row r="484" spans="3:5" s="202" customFormat="1" x14ac:dyDescent="0.2">
      <c r="C484" s="207"/>
      <c r="D484" s="209"/>
      <c r="E484" s="207"/>
    </row>
    <row r="485" spans="3:5" s="202" customFormat="1" x14ac:dyDescent="0.2">
      <c r="C485" s="207"/>
      <c r="D485" s="209"/>
      <c r="E485" s="207"/>
    </row>
    <row r="486" spans="3:5" s="202" customFormat="1" x14ac:dyDescent="0.2">
      <c r="C486" s="207"/>
      <c r="D486" s="209"/>
      <c r="E486" s="207"/>
    </row>
    <row r="487" spans="3:5" s="202" customFormat="1" x14ac:dyDescent="0.2">
      <c r="C487" s="207"/>
      <c r="D487" s="209"/>
      <c r="E487" s="207"/>
    </row>
    <row r="488" spans="3:5" s="202" customFormat="1" x14ac:dyDescent="0.2">
      <c r="C488" s="207"/>
      <c r="D488" s="209"/>
      <c r="E488" s="207"/>
    </row>
    <row r="489" spans="3:5" s="202" customFormat="1" x14ac:dyDescent="0.2">
      <c r="C489" s="207"/>
      <c r="D489" s="209"/>
      <c r="E489" s="207"/>
    </row>
    <row r="490" spans="3:5" s="202" customFormat="1" x14ac:dyDescent="0.2">
      <c r="C490" s="207"/>
      <c r="D490" s="209"/>
      <c r="E490" s="207"/>
    </row>
    <row r="491" spans="3:5" s="202" customFormat="1" x14ac:dyDescent="0.2">
      <c r="C491" s="207"/>
      <c r="D491" s="209"/>
      <c r="E491" s="207"/>
    </row>
    <row r="492" spans="3:5" s="202" customFormat="1" x14ac:dyDescent="0.2">
      <c r="C492" s="207"/>
      <c r="D492" s="209"/>
      <c r="E492" s="207"/>
    </row>
    <row r="493" spans="3:5" s="202" customFormat="1" x14ac:dyDescent="0.2">
      <c r="C493" s="207"/>
      <c r="D493" s="209"/>
      <c r="E493" s="207"/>
    </row>
    <row r="494" spans="3:5" s="202" customFormat="1" x14ac:dyDescent="0.2">
      <c r="C494" s="207"/>
      <c r="D494" s="209"/>
      <c r="E494" s="207"/>
    </row>
    <row r="495" spans="3:5" s="202" customFormat="1" x14ac:dyDescent="0.2">
      <c r="C495" s="207"/>
      <c r="D495" s="209"/>
      <c r="E495" s="207"/>
    </row>
    <row r="496" spans="3:5" s="202" customFormat="1" x14ac:dyDescent="0.2">
      <c r="C496" s="207"/>
      <c r="D496" s="209"/>
      <c r="E496" s="207"/>
    </row>
    <row r="497" spans="3:5" s="202" customFormat="1" x14ac:dyDescent="0.2">
      <c r="C497" s="207"/>
      <c r="D497" s="209"/>
      <c r="E497" s="207"/>
    </row>
    <row r="498" spans="3:5" s="202" customFormat="1" x14ac:dyDescent="0.2">
      <c r="C498" s="207"/>
      <c r="D498" s="209"/>
      <c r="E498" s="207"/>
    </row>
    <row r="499" spans="3:5" s="202" customFormat="1" x14ac:dyDescent="0.2">
      <c r="C499" s="207"/>
      <c r="D499" s="209"/>
      <c r="E499" s="207"/>
    </row>
    <row r="500" spans="3:5" s="202" customFormat="1" x14ac:dyDescent="0.2">
      <c r="C500" s="207"/>
      <c r="D500" s="209"/>
      <c r="E500" s="207"/>
    </row>
    <row r="501" spans="3:5" s="202" customFormat="1" x14ac:dyDescent="0.2">
      <c r="C501" s="207"/>
      <c r="D501" s="209"/>
      <c r="E501" s="207"/>
    </row>
    <row r="502" spans="3:5" s="202" customFormat="1" x14ac:dyDescent="0.2">
      <c r="C502" s="207"/>
      <c r="D502" s="209"/>
      <c r="E502" s="207"/>
    </row>
    <row r="503" spans="3:5" s="202" customFormat="1" x14ac:dyDescent="0.2">
      <c r="C503" s="207"/>
      <c r="D503" s="209"/>
      <c r="E503" s="207"/>
    </row>
    <row r="504" spans="3:5" s="202" customFormat="1" x14ac:dyDescent="0.2">
      <c r="C504" s="207"/>
      <c r="D504" s="209"/>
      <c r="E504" s="207"/>
    </row>
    <row r="505" spans="3:5" s="202" customFormat="1" x14ac:dyDescent="0.2">
      <c r="C505" s="207"/>
      <c r="D505" s="209"/>
      <c r="E505" s="207"/>
    </row>
    <row r="506" spans="3:5" s="202" customFormat="1" x14ac:dyDescent="0.2">
      <c r="C506" s="207"/>
      <c r="D506" s="209"/>
      <c r="E506" s="207"/>
    </row>
    <row r="507" spans="3:5" s="202" customFormat="1" x14ac:dyDescent="0.2">
      <c r="C507" s="207"/>
      <c r="D507" s="209"/>
      <c r="E507" s="207"/>
    </row>
    <row r="508" spans="3:5" s="202" customFormat="1" x14ac:dyDescent="0.2">
      <c r="C508" s="207"/>
      <c r="D508" s="209"/>
      <c r="E508" s="207"/>
    </row>
    <row r="509" spans="3:5" s="202" customFormat="1" x14ac:dyDescent="0.2">
      <c r="C509" s="207"/>
      <c r="D509" s="209"/>
      <c r="E509" s="207"/>
    </row>
    <row r="510" spans="3:5" s="202" customFormat="1" x14ac:dyDescent="0.2">
      <c r="C510" s="207"/>
      <c r="D510" s="209"/>
      <c r="E510" s="207"/>
    </row>
    <row r="511" spans="3:5" s="202" customFormat="1" x14ac:dyDescent="0.2">
      <c r="C511" s="207"/>
      <c r="D511" s="209"/>
      <c r="E511" s="207"/>
    </row>
    <row r="512" spans="3:5" s="202" customFormat="1" x14ac:dyDescent="0.2">
      <c r="C512" s="207"/>
      <c r="D512" s="209"/>
      <c r="E512" s="207"/>
    </row>
    <row r="513" spans="3:5" s="202" customFormat="1" x14ac:dyDescent="0.2">
      <c r="C513" s="207"/>
      <c r="D513" s="209"/>
      <c r="E513" s="207"/>
    </row>
    <row r="514" spans="3:5" s="202" customFormat="1" x14ac:dyDescent="0.2">
      <c r="C514" s="207"/>
      <c r="D514" s="209"/>
      <c r="E514" s="207"/>
    </row>
    <row r="515" spans="3:5" s="202" customFormat="1" x14ac:dyDescent="0.2">
      <c r="C515" s="207"/>
      <c r="D515" s="209"/>
      <c r="E515" s="207"/>
    </row>
    <row r="516" spans="3:5" s="202" customFormat="1" x14ac:dyDescent="0.2">
      <c r="C516" s="207"/>
      <c r="D516" s="209"/>
      <c r="E516" s="207"/>
    </row>
    <row r="517" spans="3:5" s="202" customFormat="1" x14ac:dyDescent="0.2">
      <c r="C517" s="207"/>
      <c r="D517" s="209"/>
      <c r="E517" s="207"/>
    </row>
    <row r="518" spans="3:5" s="202" customFormat="1" x14ac:dyDescent="0.2">
      <c r="C518" s="207"/>
      <c r="D518" s="209"/>
      <c r="E518" s="207"/>
    </row>
    <row r="519" spans="3:5" s="202" customFormat="1" x14ac:dyDescent="0.2">
      <c r="C519" s="207"/>
      <c r="D519" s="209"/>
      <c r="E519" s="207"/>
    </row>
    <row r="520" spans="3:5" s="202" customFormat="1" x14ac:dyDescent="0.2">
      <c r="C520" s="207"/>
      <c r="D520" s="209"/>
      <c r="E520" s="207"/>
    </row>
    <row r="521" spans="3:5" s="202" customFormat="1" x14ac:dyDescent="0.2">
      <c r="C521" s="207"/>
      <c r="D521" s="209"/>
      <c r="E521" s="207"/>
    </row>
    <row r="522" spans="3:5" s="202" customFormat="1" x14ac:dyDescent="0.2">
      <c r="C522" s="207"/>
      <c r="D522" s="209"/>
      <c r="E522" s="207"/>
    </row>
    <row r="523" spans="3:5" s="202" customFormat="1" x14ac:dyDescent="0.2">
      <c r="C523" s="207"/>
      <c r="D523" s="209"/>
      <c r="E523" s="207"/>
    </row>
    <row r="524" spans="3:5" s="202" customFormat="1" x14ac:dyDescent="0.2">
      <c r="C524" s="207"/>
      <c r="D524" s="209"/>
      <c r="E524" s="207"/>
    </row>
    <row r="525" spans="3:5" s="202" customFormat="1" x14ac:dyDescent="0.2">
      <c r="C525" s="207"/>
      <c r="D525" s="209"/>
      <c r="E525" s="207"/>
    </row>
    <row r="526" spans="3:5" s="202" customFormat="1" x14ac:dyDescent="0.2">
      <c r="C526" s="207"/>
      <c r="D526" s="209"/>
      <c r="E526" s="207"/>
    </row>
    <row r="527" spans="3:5" s="202" customFormat="1" x14ac:dyDescent="0.2">
      <c r="C527" s="207"/>
      <c r="D527" s="209"/>
      <c r="E527" s="207"/>
    </row>
    <row r="528" spans="3:5" s="202" customFormat="1" x14ac:dyDescent="0.2">
      <c r="C528" s="207"/>
      <c r="D528" s="209"/>
      <c r="E528" s="207"/>
    </row>
    <row r="529" spans="3:5" s="202" customFormat="1" x14ac:dyDescent="0.2">
      <c r="C529" s="207"/>
      <c r="D529" s="209"/>
      <c r="E529" s="207"/>
    </row>
    <row r="530" spans="3:5" s="202" customFormat="1" x14ac:dyDescent="0.2">
      <c r="C530" s="207"/>
      <c r="D530" s="209"/>
      <c r="E530" s="207"/>
    </row>
    <row r="531" spans="3:5" s="202" customFormat="1" x14ac:dyDescent="0.2">
      <c r="C531" s="207"/>
      <c r="D531" s="209"/>
      <c r="E531" s="207"/>
    </row>
    <row r="532" spans="3:5" s="202" customFormat="1" x14ac:dyDescent="0.2">
      <c r="C532" s="207"/>
      <c r="D532" s="209"/>
      <c r="E532" s="207"/>
    </row>
    <row r="533" spans="3:5" s="202" customFormat="1" x14ac:dyDescent="0.2">
      <c r="C533" s="207"/>
      <c r="D533" s="209"/>
      <c r="E533" s="207"/>
    </row>
  </sheetData>
  <sheetProtection algorithmName="SHA-512" hashValue="o9xeKaNpuElOEYhTA8zX1exJGZDjxAUkwRBzd5tMNC2n56rDkw9vaFr7xxPzFcp2twUgXqweihHLwCsdBPhpkQ==" saltValue="iGuXq30MS9FjTyMGr3TXGA==" spinCount="100000" sheet="1" objects="1" scenarios="1"/>
  <phoneticPr fontId="3" type="noConversion"/>
  <hyperlinks>
    <hyperlink ref="E83" location="'Übersicht zu Vollkosten in SN'!A1" display="zurück"/>
    <hyperlink ref="F83" location="Hinweise!A1" display="weiter"/>
    <hyperlink ref="C81" r:id="rId1"/>
    <hyperlink ref="C82" r:id="rId2"/>
  </hyperlinks>
  <printOptions horizontalCentered="1" verticalCentered="1"/>
  <pageMargins left="0.78740157480314965" right="0.15748031496062992" top="0.51181102362204722" bottom="0.65" header="0.51181102362204722" footer="0.44"/>
  <pageSetup paperSize="9" scale="84" fitToWidth="2" orientation="portrait" horizontalDpi="300" verticalDpi="300" r:id="rId3"/>
  <headerFooter alignWithMargins="0">
    <oddFooter>&amp;C&amp;8Sächsisches Landesamt für Umwelt, Landwirtschaft und Geologie, Abt. 2&amp;R&amp;8&amp;D</oddFooter>
  </headerFooter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Q57"/>
  <sheetViews>
    <sheetView workbookViewId="0">
      <pane xSplit="13" ySplit="35" topLeftCell="N36" activePane="bottomRight" state="frozen"/>
      <selection pane="topRight" activeCell="N1" sqref="N1"/>
      <selection pane="bottomLeft" activeCell="A36" sqref="A36"/>
      <selection pane="bottomRight" activeCell="K42" sqref="K42"/>
    </sheetView>
  </sheetViews>
  <sheetFormatPr baseColWidth="10" defaultColWidth="11.42578125" defaultRowHeight="12.75" x14ac:dyDescent="0.2"/>
  <cols>
    <col min="1" max="1" width="3.5703125" style="145" customWidth="1"/>
    <col min="2" max="12" width="11.42578125" style="145"/>
    <col min="13" max="13" width="8.7109375" style="145" customWidth="1"/>
    <col min="14" max="15" width="11.42578125" style="169"/>
    <col min="16" max="17" width="11.42578125" style="191"/>
    <col min="18" max="16384" width="11.42578125" style="145"/>
  </cols>
  <sheetData>
    <row r="1" spans="1:17" x14ac:dyDescent="0.2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7" ht="18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1:17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</row>
    <row r="4" spans="1:17" s="179" customFormat="1" ht="18" customHeight="1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7" s="179" customFormat="1" ht="18" customHeight="1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</row>
    <row r="6" spans="1:17" s="181" customFormat="1" x14ac:dyDescent="0.2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</row>
    <row r="7" spans="1:17" s="179" customFormat="1" ht="18" customHeight="1" x14ac:dyDescent="0.2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</row>
    <row r="8" spans="1:17" s="179" customFormat="1" ht="18" customHeight="1" x14ac:dyDescent="0.2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</row>
    <row r="9" spans="1:17" s="179" customFormat="1" ht="18" customHeight="1" thickBot="1" x14ac:dyDescent="0.25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7" s="179" customFormat="1" ht="18" customHeight="1" x14ac:dyDescent="0.25">
      <c r="A10" s="246"/>
      <c r="B10" s="170" t="s">
        <v>127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2"/>
      <c r="N10" s="192"/>
      <c r="O10" s="192"/>
      <c r="P10" s="192"/>
      <c r="Q10" s="192"/>
    </row>
    <row r="11" spans="1:17" s="179" customFormat="1" ht="18" customHeight="1" x14ac:dyDescent="0.2">
      <c r="A11" s="192"/>
      <c r="B11" s="173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5"/>
      <c r="N11" s="192"/>
      <c r="O11" s="192"/>
      <c r="P11" s="192"/>
      <c r="Q11" s="192"/>
    </row>
    <row r="12" spans="1:17" s="179" customFormat="1" ht="18" customHeight="1" x14ac:dyDescent="0.2">
      <c r="A12" s="192"/>
      <c r="B12" s="176" t="s">
        <v>168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8"/>
      <c r="N12" s="192"/>
      <c r="O12" s="192"/>
      <c r="P12" s="192"/>
      <c r="Q12" s="192"/>
    </row>
    <row r="13" spans="1:17" s="179" customFormat="1" ht="18" customHeight="1" x14ac:dyDescent="0.2">
      <c r="A13" s="192"/>
      <c r="B13" s="176" t="s">
        <v>128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8"/>
      <c r="N13" s="192"/>
      <c r="O13" s="192"/>
      <c r="P13" s="192"/>
      <c r="Q13" s="192"/>
    </row>
    <row r="14" spans="1:17" s="179" customFormat="1" ht="18" customHeight="1" x14ac:dyDescent="0.2">
      <c r="A14" s="192"/>
      <c r="B14" s="180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8"/>
      <c r="N14" s="192"/>
      <c r="O14" s="192"/>
      <c r="P14" s="192"/>
      <c r="Q14" s="192"/>
    </row>
    <row r="15" spans="1:17" ht="18" customHeight="1" x14ac:dyDescent="0.2">
      <c r="A15" s="191"/>
      <c r="B15" s="182" t="s">
        <v>131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4"/>
      <c r="N15" s="191"/>
      <c r="O15" s="191"/>
    </row>
    <row r="16" spans="1:17" ht="18" customHeight="1" x14ac:dyDescent="0.2">
      <c r="A16" s="191"/>
      <c r="B16" s="182" t="s">
        <v>129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4"/>
      <c r="N16" s="191"/>
      <c r="O16" s="191"/>
    </row>
    <row r="17" spans="1:15" ht="18" customHeight="1" x14ac:dyDescent="0.2">
      <c r="A17" s="191"/>
      <c r="B17" s="182" t="s">
        <v>132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4"/>
      <c r="N17" s="191"/>
      <c r="O17" s="191"/>
    </row>
    <row r="18" spans="1:15" ht="18" customHeight="1" x14ac:dyDescent="0.2">
      <c r="A18" s="191"/>
      <c r="B18" s="182" t="s">
        <v>130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4"/>
      <c r="N18" s="191"/>
      <c r="O18" s="191"/>
    </row>
    <row r="19" spans="1:15" ht="18" customHeight="1" x14ac:dyDescent="0.2">
      <c r="A19" s="191"/>
      <c r="B19" s="182" t="s">
        <v>146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4"/>
      <c r="N19" s="191"/>
      <c r="O19" s="191"/>
    </row>
    <row r="20" spans="1:15" ht="18" customHeight="1" x14ac:dyDescent="0.2">
      <c r="A20" s="191"/>
      <c r="B20" s="176" t="s">
        <v>169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8"/>
      <c r="N20" s="191"/>
      <c r="O20" s="191"/>
    </row>
    <row r="21" spans="1:15" ht="18" customHeight="1" x14ac:dyDescent="0.2">
      <c r="A21" s="191"/>
      <c r="B21" s="182" t="s">
        <v>170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4"/>
      <c r="N21" s="191"/>
      <c r="O21" s="191"/>
    </row>
    <row r="22" spans="1:15" ht="18" customHeight="1" x14ac:dyDescent="0.2">
      <c r="A22" s="191"/>
      <c r="B22" s="182" t="s">
        <v>133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4"/>
      <c r="N22" s="191"/>
      <c r="O22" s="191"/>
    </row>
    <row r="23" spans="1:15" ht="13.5" thickBot="1" x14ac:dyDescent="0.25">
      <c r="A23" s="191"/>
      <c r="B23" s="185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7"/>
      <c r="N23" s="191"/>
      <c r="O23" s="191"/>
    </row>
    <row r="24" spans="1:15" x14ac:dyDescent="0.2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</row>
    <row r="25" spans="1:15" x14ac:dyDescent="0.2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</row>
    <row r="26" spans="1:15" x14ac:dyDescent="0.2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</row>
    <row r="27" spans="1:15" x14ac:dyDescent="0.2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208" t="s">
        <v>147</v>
      </c>
      <c r="L27" s="191"/>
      <c r="M27" s="191"/>
      <c r="N27" s="191"/>
      <c r="O27" s="191"/>
    </row>
    <row r="28" spans="1:15" x14ac:dyDescent="0.2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</row>
    <row r="29" spans="1:15" x14ac:dyDescent="0.2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</row>
    <row r="30" spans="1:15" x14ac:dyDescent="0.2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</row>
    <row r="31" spans="1:15" x14ac:dyDescent="0.2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</row>
    <row r="32" spans="1:15" x14ac:dyDescent="0.2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</row>
    <row r="33" spans="1:15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</row>
    <row r="34" spans="1:15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</row>
    <row r="35" spans="1:15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</row>
    <row r="36" spans="1:15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</row>
    <row r="37" spans="1:15" x14ac:dyDescent="0.2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</row>
    <row r="38" spans="1:15" x14ac:dyDescent="0.2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</row>
    <row r="39" spans="1:15" x14ac:dyDescent="0.2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</row>
    <row r="40" spans="1:15" x14ac:dyDescent="0.2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</row>
    <row r="41" spans="1:15" x14ac:dyDescent="0.2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</row>
    <row r="42" spans="1:15" x14ac:dyDescent="0.2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</row>
    <row r="43" spans="1:15" x14ac:dyDescent="0.2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</row>
    <row r="44" spans="1:15" x14ac:dyDescent="0.2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</row>
    <row r="45" spans="1:15" x14ac:dyDescent="0.2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</row>
    <row r="46" spans="1:15" x14ac:dyDescent="0.2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</row>
    <row r="47" spans="1:15" x14ac:dyDescent="0.2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</row>
    <row r="48" spans="1:15" x14ac:dyDescent="0.2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</row>
    <row r="49" s="191" customFormat="1" x14ac:dyDescent="0.2"/>
    <row r="50" s="191" customFormat="1" x14ac:dyDescent="0.2"/>
    <row r="51" s="191" customFormat="1" x14ac:dyDescent="0.2"/>
    <row r="52" s="191" customFormat="1" x14ac:dyDescent="0.2"/>
    <row r="53" s="191" customFormat="1" x14ac:dyDescent="0.2"/>
    <row r="54" s="191" customFormat="1" x14ac:dyDescent="0.2"/>
    <row r="55" s="191" customFormat="1" x14ac:dyDescent="0.2"/>
    <row r="56" s="191" customFormat="1" x14ac:dyDescent="0.2"/>
    <row r="57" s="191" customFormat="1" x14ac:dyDescent="0.2"/>
  </sheetData>
  <sheetProtection password="CB69" sheet="1"/>
  <phoneticPr fontId="3" type="noConversion"/>
  <hyperlinks>
    <hyperlink ref="K27" location="Start!A1" display="zurück"/>
  </hyperlinks>
  <pageMargins left="0.62" right="0.39" top="1.02" bottom="0.984251969" header="0.4921259845" footer="0.4921259845"/>
  <pageSetup paperSize="9" scale="84" orientation="landscape" r:id="rId1"/>
  <headerFooter alignWithMargins="0">
    <oddFooter>&amp;C&amp;8Sächsisches Landesamt für Umwelt, Landwirtschaft und Geologie, Abt. 2&amp;R&amp;8&amp;D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Start</vt:lpstr>
      <vt:lpstr>Übersicht zu Vollkosten in SN</vt:lpstr>
      <vt:lpstr>Schema für betriebl Kalkulation</vt:lpstr>
      <vt:lpstr>Hinweise</vt:lpstr>
      <vt:lpstr>Hinweise!Druckbereich</vt:lpstr>
      <vt:lpstr>'Schema für betriebl Kalkulation'!Druckbereich</vt:lpstr>
      <vt:lpstr>'Übersicht zu Vollkosten in SN'!Druckbereich</vt:lpstr>
    </vt:vector>
  </TitlesOfParts>
  <Company>SMUL / LfL FB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b03boeul</dc:creator>
  <cp:lastModifiedBy>Bönewitz, Ulrike - LfULG</cp:lastModifiedBy>
  <cp:lastPrinted>2013-10-30T12:57:46Z</cp:lastPrinted>
  <dcterms:created xsi:type="dcterms:W3CDTF">2007-07-30T07:35:14Z</dcterms:created>
  <dcterms:modified xsi:type="dcterms:W3CDTF">2024-10-21T08:25:22Z</dcterms:modified>
</cp:coreProperties>
</file>